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PFILE01\home$\KRETZLER\Desktop.2008R2\"/>
    </mc:Choice>
  </mc:AlternateContent>
  <bookViews>
    <workbookView xWindow="240" yWindow="855" windowWidth="15600" windowHeight="669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52511" iterate="1" calcOnSave="0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K53" i="18" l="1"/>
  <c r="E63" i="18"/>
  <c r="J63" i="18"/>
  <c r="G63" i="18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M65" i="18"/>
  <c r="G55" i="18"/>
  <c r="F55" i="18"/>
  <c r="M55" i="18"/>
  <c r="E21" i="18"/>
  <c r="N55" i="18"/>
  <c r="F69" i="17"/>
  <c r="G69" i="17"/>
  <c r="H69" i="17"/>
  <c r="I69" i="17"/>
  <c r="J69" i="17"/>
  <c r="K69" i="17"/>
  <c r="L69" i="17"/>
  <c r="M69" i="17"/>
  <c r="N69" i="17"/>
  <c r="E69" i="17"/>
  <c r="I55" i="18" l="1"/>
  <c r="H55" i="18"/>
  <c r="L55" i="18"/>
  <c r="K55" i="18"/>
  <c r="L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S12" i="7"/>
  <c r="T12" i="7"/>
  <c r="U12" i="7"/>
  <c r="V12" i="7"/>
  <c r="W12" i="7"/>
  <c r="R12" i="7"/>
  <c r="E65" i="18" l="1"/>
  <c r="X12" i="7"/>
  <c r="X13" i="7"/>
  <c r="X11" i="7"/>
  <c r="X16" i="7"/>
  <c r="X15" i="7"/>
  <c r="X17" i="7"/>
  <c r="X18" i="7"/>
  <c r="X14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J14" i="7" l="1"/>
  <c r="I15" i="7"/>
  <c r="H16" i="7"/>
  <c r="L16" i="7"/>
  <c r="K17" i="7"/>
  <c r="J18" i="7"/>
  <c r="N11" i="7"/>
  <c r="L11" i="7"/>
  <c r="H11" i="7"/>
  <c r="L14" i="7"/>
  <c r="K15" i="7"/>
  <c r="L18" i="7"/>
  <c r="P11" i="7"/>
  <c r="I14" i="7"/>
  <c r="H15" i="7"/>
  <c r="M11" i="7"/>
  <c r="L13" i="7"/>
  <c r="K14" i="7"/>
  <c r="J15" i="7"/>
  <c r="I16" i="7"/>
  <c r="H17" i="7"/>
  <c r="L17" i="7"/>
  <c r="K18" i="7"/>
  <c r="O11" i="7"/>
  <c r="J11" i="7"/>
  <c r="H14" i="7"/>
  <c r="J16" i="7"/>
  <c r="I17" i="7"/>
  <c r="H18" i="7"/>
  <c r="K11" i="7"/>
  <c r="L15" i="7"/>
  <c r="K16" i="7"/>
  <c r="J17" i="7"/>
  <c r="I18" i="7"/>
  <c r="L12" i="7"/>
  <c r="I11" i="7"/>
  <c r="F17" i="7"/>
  <c r="F15" i="7"/>
  <c r="F12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12" i="7"/>
  <c r="Q16" i="7"/>
  <c r="Q14" i="7"/>
  <c r="Q17" i="7"/>
  <c r="C14" i="7"/>
  <c r="C12" i="7"/>
  <c r="C16" i="7"/>
  <c r="C15" i="7"/>
  <c r="C17" i="7"/>
  <c r="C13" i="7"/>
  <c r="C18" i="7"/>
</calcChain>
</file>

<file path=xl/sharedStrings.xml><?xml version="1.0" encoding="utf-8"?>
<sst xmlns="http://schemas.openxmlformats.org/spreadsheetml/2006/main" count="1361" uniqueCount="675">
  <si>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</si>
  <si>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</si>
  <si>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</si>
  <si>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</si>
  <si>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</si>
  <si>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</si>
  <si>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</si>
  <si>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</si>
  <si>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</si>
  <si>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</si>
  <si>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</si>
  <si>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</si>
  <si>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</si>
  <si>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</si>
  <si>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</si>
  <si>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</si>
  <si>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</si>
  <si>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</si>
  <si>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</si>
  <si>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</si>
  <si>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</si>
  <si>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</si>
  <si>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</si>
  <si>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</si>
  <si>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</si>
  <si>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</si>
  <si>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</si>
  <si>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</si>
  <si>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</si>
  <si>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</si>
  <si>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</si>
  <si>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</si>
  <si>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</si>
  <si>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</si>
  <si>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</si>
  <si>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</si>
  <si>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</si>
  <si>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</si>
  <si>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</si>
  <si>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</si>
  <si>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</si>
  <si>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</si>
  <si>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</si>
  <si>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</si>
  <si>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</si>
  <si>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</si>
  <si>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</si>
  <si>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</si>
  <si>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</si>
  <si>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</si>
  <si>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</si>
  <si>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</si>
  <si>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</si>
  <si>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</si>
  <si>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</si>
  <si>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</si>
  <si>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</si>
  <si>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</si>
  <si>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</si>
  <si>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</si>
  <si>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</si>
  <si>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</si>
  <si>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</si>
  <si>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</si>
  <si>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</si>
  <si>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</si>
  <si>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</si>
  <si>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</si>
  <si>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</si>
  <si>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</si>
  <si>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</si>
  <si>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</si>
  <si>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</si>
  <si>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</si>
  <si>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</si>
  <si>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</si>
  <si>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</si>
  <si>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</si>
  <si>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</si>
  <si>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</si>
  <si>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</si>
  <si>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</si>
  <si>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</si>
  <si>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</si>
  <si>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</si>
  <si>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</si>
  <si>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</si>
  <si>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</si>
  <si>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</si>
  <si>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</si>
  <si>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</si>
  <si>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</si>
  <si>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</si>
  <si>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</si>
  <si>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</si>
  <si>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</si>
  <si>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</si>
  <si>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</si>
  <si>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</si>
  <si>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</si>
  <si>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</si>
  <si>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</si>
  <si>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</si>
  <si>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</si>
  <si>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</si>
  <si>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</si>
  <si>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</si>
  <si>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</si>
  <si>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</si>
  <si>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</si>
  <si>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</si>
  <si>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</si>
  <si>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</si>
  <si>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</si>
  <si>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</si>
  <si>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</si>
  <si>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</si>
  <si>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</si>
  <si>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</si>
  <si>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</si>
  <si>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</si>
  <si>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</si>
  <si>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</si>
  <si>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</si>
  <si>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</si>
  <si>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</si>
  <si>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</si>
  <si>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</si>
  <si>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</si>
  <si>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</si>
  <si>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</si>
  <si>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</si>
  <si>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</si>
  <si>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</si>
  <si>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</si>
  <si>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</si>
  <si>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</si>
  <si>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</si>
  <si>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</si>
  <si>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</si>
  <si>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</si>
  <si>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</si>
  <si>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</si>
  <si>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</si>
  <si>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</si>
  <si>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</si>
  <si>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</si>
  <si>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</si>
  <si>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</si>
  <si>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</si>
  <si>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</si>
  <si>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</si>
  <si>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</si>
  <si>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</si>
  <si>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</si>
  <si>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</si>
  <si>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</si>
  <si>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</si>
  <si>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</si>
  <si>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</si>
  <si>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</si>
  <si>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</si>
  <si>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</si>
  <si>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</si>
  <si>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</si>
  <si>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</si>
  <si>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</si>
  <si>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</si>
  <si>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</si>
  <si>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</si>
  <si>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</si>
  <si>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</si>
  <si>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</si>
  <si>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</si>
  <si>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</si>
  <si>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</si>
  <si>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</si>
  <si>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</si>
  <si>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</si>
  <si>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</si>
  <si>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</si>
  <si>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</si>
  <si>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</si>
  <si>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</si>
  <si>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</si>
  <si>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</si>
  <si>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</si>
  <si>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</si>
  <si>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</si>
  <si>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</si>
  <si>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</si>
  <si>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</si>
  <si>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</si>
  <si>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</si>
  <si>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</si>
  <si>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</si>
  <si>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</si>
  <si>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</si>
  <si>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</si>
  <si>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</si>
  <si>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</si>
  <si>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</si>
  <si>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</si>
  <si>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</si>
  <si>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</si>
  <si>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</si>
  <si>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</si>
  <si>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</si>
  <si>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</si>
  <si>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</si>
  <si>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</si>
  <si>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</si>
  <si>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</si>
  <si>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</si>
  <si>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</si>
  <si>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</si>
  <si>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</si>
  <si>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</si>
  <si>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</si>
  <si>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</si>
  <si>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</si>
  <si>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</si>
  <si>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</si>
  <si>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</si>
  <si>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</si>
  <si>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</si>
  <si>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</si>
  <si>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</si>
  <si>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</si>
  <si>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</si>
  <si>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</si>
  <si>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</si>
  <si>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</si>
  <si>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</si>
  <si>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</si>
  <si>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</si>
  <si>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</si>
  <si>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</si>
  <si>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</si>
  <si>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</si>
  <si>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</si>
  <si>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</si>
  <si>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</si>
  <si>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</si>
  <si>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</si>
  <si>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</si>
  <si>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</si>
  <si>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</si>
  <si>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</si>
  <si>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</si>
  <si>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</si>
  <si>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</si>
  <si>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</si>
  <si>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</si>
  <si>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</si>
  <si>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</si>
  <si>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</si>
  <si>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</si>
  <si>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</si>
  <si>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</si>
  <si>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</si>
  <si>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</si>
  <si>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</si>
  <si>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</si>
  <si>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</si>
  <si>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</si>
  <si>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</si>
  <si>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</si>
  <si>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</si>
  <si>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</si>
  <si>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</si>
  <si>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</si>
  <si>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</si>
  <si>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</si>
  <si>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</si>
  <si>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</si>
  <si>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</si>
  <si>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</si>
  <si>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</si>
  <si>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</si>
  <si>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</si>
  <si>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</si>
  <si>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</si>
  <si>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</si>
  <si>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</si>
  <si>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</si>
  <si>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</si>
  <si>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</si>
  <si>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</si>
  <si>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</si>
  <si>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</si>
  <si>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</si>
  <si>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</si>
  <si>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</si>
  <si>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</si>
  <si>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</si>
  <si>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</si>
  <si>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</si>
  <si>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</si>
  <si>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</si>
  <si>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</si>
  <si>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</si>
  <si>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</si>
  <si>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</si>
  <si>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</si>
  <si>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</si>
  <si>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</si>
  <si>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</si>
  <si>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</si>
  <si>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</si>
  <si>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</si>
  <si>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</si>
  <si>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</si>
  <si>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</si>
  <si>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</si>
  <si>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</si>
  <si>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</si>
  <si>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</si>
  <si>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</si>
  <si>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</si>
  <si>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</si>
  <si>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</si>
  <si>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</si>
  <si>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</si>
  <si>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</si>
  <si>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</si>
  <si>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</si>
  <si>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</si>
  <si>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</si>
  <si>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</si>
  <si>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</si>
  <si>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</si>
  <si>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</si>
  <si>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</si>
  <si>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</si>
  <si>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</si>
  <si>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</si>
  <si>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</si>
  <si>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</si>
  <si>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</si>
  <si>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</si>
  <si>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</si>
  <si>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</si>
  <si>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</si>
  <si>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</si>
  <si>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</si>
  <si>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</si>
  <si>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</si>
  <si>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</si>
  <si>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</si>
  <si>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</si>
  <si>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</si>
  <si>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</si>
  <si>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</si>
  <si>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</si>
  <si>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</si>
  <si>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</si>
  <si>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</si>
  <si>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</si>
  <si>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</si>
  <si>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</si>
  <si>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</si>
  <si>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</si>
  <si>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</si>
  <si>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</si>
  <si>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</si>
  <si>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</si>
  <si>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</si>
  <si>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</si>
  <si>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</si>
  <si>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</si>
  <si>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</si>
  <si>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</si>
  <si>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</si>
  <si>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</si>
  <si>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</si>
  <si>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</si>
  <si>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</si>
  <si>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</si>
  <si>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</si>
  <si>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</si>
  <si>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</si>
  <si>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</si>
  <si>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</si>
  <si>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</si>
  <si>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</si>
  <si>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</si>
  <si>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</si>
  <si>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</si>
  <si>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</si>
  <si>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</si>
  <si>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</si>
  <si>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</si>
  <si>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</si>
  <si>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</si>
  <si>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</si>
  <si>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</si>
  <si>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</si>
  <si>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</si>
  <si>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</si>
  <si>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</si>
  <si>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</si>
  <si>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</si>
  <si>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</si>
  <si>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</si>
  <si>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</si>
  <si>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</si>
  <si>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</si>
  <si>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</si>
  <si>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</si>
  <si>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</si>
  <si>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</si>
  <si>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</si>
  <si>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</si>
  <si>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</si>
  <si>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</si>
  <si>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</si>
  <si>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</si>
  <si>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</si>
  <si>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</si>
  <si>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</si>
  <si>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</si>
  <si>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</si>
  <si>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</si>
  <si>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</si>
  <si>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</si>
  <si>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</si>
  <si>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</si>
  <si>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</si>
  <si>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</si>
  <si>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</si>
  <si>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</si>
  <si>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</si>
  <si>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</si>
  <si>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</si>
  <si>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</si>
  <si>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</si>
  <si>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</si>
  <si>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</si>
  <si>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</si>
  <si>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</si>
  <si>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</si>
  <si>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</si>
  <si>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</si>
  <si>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</si>
  <si>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</si>
  <si>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</si>
  <si>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</si>
  <si>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</si>
  <si>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</si>
  <si>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</si>
  <si>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</si>
  <si>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</si>
  <si>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</si>
  <si>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</si>
  <si>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</si>
  <si>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</si>
  <si>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</si>
  <si>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</si>
  <si>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</si>
  <si>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</si>
  <si>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</si>
  <si>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</si>
  <si>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</si>
  <si>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</si>
  <si>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</si>
  <si>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</si>
  <si>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</si>
  <si>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</si>
  <si>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</si>
  <si>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</si>
  <si>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</si>
  <si>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</si>
  <si>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</si>
  <si>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</si>
  <si>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</si>
  <si>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</si>
  <si>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</si>
  <si>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</si>
  <si>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</si>
  <si>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</si>
  <si>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</si>
  <si>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</si>
  <si>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</si>
  <si>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</si>
  <si>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</si>
  <si>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</si>
  <si>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</si>
  <si>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</si>
  <si>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</si>
  <si>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</si>
  <si>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</si>
  <si>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</si>
  <si>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</si>
  <si>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</si>
  <si>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</si>
  <si>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</si>
  <si>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</si>
  <si>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</si>
  <si>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</si>
  <si>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</si>
  <si>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</si>
  <si>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</si>
  <si>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</si>
  <si>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</si>
  <si>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</si>
  <si>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</si>
  <si>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</si>
  <si>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</si>
  <si>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</si>
  <si>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</si>
  <si>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</si>
  <si>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</si>
  <si>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</si>
  <si>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</si>
  <si>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</si>
  <si>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</si>
  <si>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</si>
  <si>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</si>
  <si>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</si>
  <si>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</si>
  <si>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</si>
  <si>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</si>
  <si>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</si>
  <si>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</si>
  <si>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</si>
  <si>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</si>
  <si>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</si>
  <si>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</si>
  <si>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</si>
  <si>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</si>
  <si>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</si>
  <si>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</si>
  <si>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</si>
  <si>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</si>
  <si>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</si>
  <si>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</si>
  <si>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</si>
  <si>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</si>
  <si>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</si>
  <si>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</si>
  <si>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</si>
  <si>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</si>
  <si>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</si>
  <si>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</si>
  <si>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</si>
  <si>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</si>
  <si>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</si>
  <si>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</si>
  <si>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</si>
  <si>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</si>
  <si>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</si>
  <si>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</si>
  <si>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</si>
  <si>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</si>
  <si>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</si>
  <si>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</si>
  <si>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</si>
  <si>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</si>
  <si>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</si>
  <si>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</si>
  <si>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</si>
  <si>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</si>
  <si>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</si>
  <si>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</si>
  <si>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</si>
  <si>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</si>
  <si>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</si>
  <si>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</si>
  <si>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</si>
  <si>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</si>
  <si>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</si>
  <si>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</si>
  <si>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</si>
  <si>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</si>
  <si>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</si>
  <si>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</si>
  <si>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</si>
  <si>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</si>
  <si>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</si>
  <si>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</si>
  <si>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</si>
  <si>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</si>
  <si>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</si>
  <si>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</si>
  <si>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</si>
  <si>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</si>
  <si>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</si>
  <si>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</si>
  <si>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</si>
  <si>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</si>
  <si>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</si>
  <si>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</si>
  <si>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</si>
  <si>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</si>
  <si>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</si>
  <si>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</si>
  <si>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</si>
  <si>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</si>
  <si>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</si>
  <si>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</si>
  <si>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</si>
  <si>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</si>
  <si>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</si>
  <si>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</si>
  <si>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</si>
  <si>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</si>
  <si>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</si>
  <si>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</si>
  <si>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</si>
  <si>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</si>
  <si>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</si>
  <si>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</si>
  <si>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</si>
  <si>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</si>
  <si>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</si>
  <si>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</si>
  <si>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</si>
  <si>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</si>
  <si>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</si>
  <si>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</si>
  <si>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</si>
  <si>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</si>
  <si>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</si>
  <si>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</si>
  <si>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</si>
  <si>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</si>
  <si>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</si>
  <si>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</si>
  <si>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</si>
  <si>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</si>
  <si>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</si>
  <si>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</si>
  <si>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</si>
  <si>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</si>
  <si>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</si>
  <si>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</si>
  <si>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</si>
  <si>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</si>
  <si>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</si>
  <si>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</si>
  <si>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</si>
  <si>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</si>
  <si>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</si>
  <si>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</si>
  <si>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</si>
  <si>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</si>
  <si>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</si>
  <si>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</si>
  <si>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</si>
  <si>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</si>
  <si>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</si>
  <si>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</si>
  <si>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</si>
  <si>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</si>
  <si>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</si>
  <si>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</si>
  <si>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</si>
  <si>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</si>
  <si>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Stadtwerke Karlsruhe Netzservice GmbH</t>
  </si>
  <si>
    <t>9870043100005</t>
  </si>
  <si>
    <t>Daxlander Str. 72</t>
  </si>
  <si>
    <t>D-76185</t>
  </si>
  <si>
    <t>Karlsruhe</t>
  </si>
  <si>
    <t>Alexander Kretzler</t>
  </si>
  <si>
    <t>edm@netzservice-swka.de</t>
  </si>
  <si>
    <t>0721/599-3862</t>
  </si>
  <si>
    <t>NCHN007004310000</t>
  </si>
  <si>
    <t>Rheinstetten</t>
  </si>
  <si>
    <t>Ind.-Koef.</t>
  </si>
  <si>
    <t>DE_GKO04</t>
  </si>
  <si>
    <t>DE_GHA04</t>
  </si>
  <si>
    <t>DE_GBD04</t>
  </si>
  <si>
    <t>DE_GMK04</t>
  </si>
  <si>
    <t>Karlsruhe und Rheinstetten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</si>
</sst>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8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9" xfId="0" applyNumberFormat="1" applyFont="1" applyFill="1" applyBorder="1" applyAlignment="1" applyProtection="1">
      <alignment horizontal="center" vertical="center"/>
      <protection locked="0"/>
    </xf>
    <xf numFmtId="192" fontId="0" fillId="71" borderId="73" xfId="0" applyNumberFormat="1" applyFont="1" applyFill="1" applyBorder="1" applyAlignment="1" applyProtection="1">
      <alignment horizontal="center" vertical="center"/>
      <protection locked="0"/>
    </xf>
    <xf numFmtId="183" fontId="0" fillId="71" borderId="73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509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8" t="s">
        <v>654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7" sqref="D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658</v>
      </c>
      <c r="D4" s="27">
        <v>43060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657</v>
      </c>
      <c r="D6" s="27">
        <v>41548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41" t="s">
        <v>659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489</v>
      </c>
      <c r="D11" s="332" t="s">
        <v>660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661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 t="s">
        <v>662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663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664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666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463</v>
      </c>
      <c r="D27" s="42" t="s">
        <v>397</v>
      </c>
      <c r="E27" s="39"/>
      <c r="F27" s="11"/>
    </row>
    <row r="28" spans="1:15">
      <c r="B28" s="15"/>
      <c r="C28" s="65" t="s">
        <v>505</v>
      </c>
      <c r="D28" s="48" t="str">
        <f>IF(D27&lt;&gt;C28,VLOOKUP(D27,$C$29:$D$48,2,FALSE),C28)</f>
        <v>Karlsruhe und Rheinstetten</v>
      </c>
      <c r="E28" s="38"/>
      <c r="F28" s="11"/>
      <c r="G28" s="2"/>
    </row>
    <row r="29" spans="1:15">
      <c r="B29" s="15"/>
      <c r="C29" s="22" t="s">
        <v>397</v>
      </c>
      <c r="D29" s="45" t="s">
        <v>674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6" zoomScale="80" zoomScaleNormal="80" workbookViewId="0">
      <selection activeCell="D48" sqref="D4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Stadtwerke Karlsruhe Netzservice GmbH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8" t="str">
        <f>Netzbetreiber!D28</f>
        <v>Karlsruhe und Rheinstetten</v>
      </c>
      <c r="E6" s="15"/>
      <c r="H6" s="67"/>
      <c r="I6" s="67"/>
      <c r="J6" s="67"/>
      <c r="K6" s="67"/>
    </row>
    <row r="7" spans="2:15" ht="15" customHeight="1">
      <c r="B7" s="22"/>
      <c r="C7" s="60" t="s">
        <v>491</v>
      </c>
      <c r="D7" s="329" t="str">
        <f>Netzbetreiber!$D$11</f>
        <v>9870043100005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41548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257</v>
      </c>
      <c r="E11" s="15"/>
      <c r="H11" s="272" t="s">
        <v>257</v>
      </c>
      <c r="I11" s="272" t="s">
        <v>260</v>
      </c>
      <c r="J11" s="272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619</v>
      </c>
      <c r="D13" s="33" t="s">
        <v>620</v>
      </c>
      <c r="E13" s="15"/>
      <c r="H13" s="272" t="s">
        <v>620</v>
      </c>
      <c r="I13" s="272" t="s">
        <v>621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434</v>
      </c>
      <c r="D15" s="42" t="s">
        <v>667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432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85</v>
      </c>
      <c r="C18" s="31" t="s">
        <v>370</v>
      </c>
      <c r="D18" s="49" t="s">
        <v>258</v>
      </c>
      <c r="E18" s="15"/>
      <c r="H18" s="270" t="s">
        <v>258</v>
      </c>
      <c r="I18" s="270" t="s">
        <v>136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578</v>
      </c>
      <c r="I19" s="271" t="s">
        <v>492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493</v>
      </c>
      <c r="I20" s="271" t="s">
        <v>494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86</v>
      </c>
      <c r="C22" s="8" t="s">
        <v>617</v>
      </c>
      <c r="D22" s="49" t="s">
        <v>613</v>
      </c>
      <c r="E22" s="15"/>
      <c r="H22" s="268" t="s">
        <v>613</v>
      </c>
      <c r="I22" s="268" t="s">
        <v>614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615</v>
      </c>
      <c r="E23" s="15"/>
      <c r="H23" s="268" t="s">
        <v>616</v>
      </c>
      <c r="I23" s="8" t="s">
        <v>612</v>
      </c>
      <c r="J23" s="8"/>
      <c r="K23" s="8"/>
      <c r="L23" s="269"/>
    </row>
    <row r="24" spans="2:16" ht="15" customHeight="1">
      <c r="B24" s="22"/>
      <c r="C24" s="24" t="s">
        <v>618</v>
      </c>
      <c r="D24" s="24" t="str">
        <f>IF(D22=$H$22,L24,IF(D23=$H$24,M24,N24))</f>
        <v>=&gt;  Q(D) = KW  x  h(T, SLP-Typ)  x  F(WT)</v>
      </c>
      <c r="E24" s="15"/>
      <c r="H24" s="268" t="s">
        <v>615</v>
      </c>
      <c r="I24" s="268" t="s">
        <v>622</v>
      </c>
      <c r="J24" s="8"/>
      <c r="K24" s="8"/>
      <c r="L24" s="271" t="s">
        <v>623</v>
      </c>
      <c r="M24" s="271" t="s">
        <v>625</v>
      </c>
      <c r="N24" s="271" t="s">
        <v>624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372</v>
      </c>
      <c r="C26" s="6" t="s">
        <v>581</v>
      </c>
      <c r="D26" s="42" t="s">
        <v>137</v>
      </c>
      <c r="E26" s="15"/>
      <c r="H26" s="270" t="s">
        <v>135</v>
      </c>
      <c r="I26" s="270" t="s">
        <v>137</v>
      </c>
      <c r="J26" s="268"/>
      <c r="K26" s="268"/>
      <c r="L26" s="269"/>
    </row>
    <row r="27" spans="2:16" ht="15" customHeight="1">
      <c r="B27" s="7"/>
      <c r="C27" s="6" t="s">
        <v>626</v>
      </c>
      <c r="D27" s="42" t="s">
        <v>627</v>
      </c>
      <c r="E27" s="15"/>
      <c r="H27" s="298" t="s">
        <v>627</v>
      </c>
      <c r="I27" s="270" t="s">
        <v>628</v>
      </c>
      <c r="J27" s="270" t="s">
        <v>629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630</v>
      </c>
      <c r="I28" s="271" t="s">
        <v>631</v>
      </c>
      <c r="J28" s="271" t="s">
        <v>632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633</v>
      </c>
      <c r="I29" s="271" t="s">
        <v>634</v>
      </c>
      <c r="J29" s="271" t="s">
        <v>635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497</v>
      </c>
      <c r="C31" s="6" t="s">
        <v>580</v>
      </c>
      <c r="D31" s="42" t="s">
        <v>137</v>
      </c>
      <c r="E31" s="15"/>
      <c r="H31" s="270" t="s">
        <v>135</v>
      </c>
      <c r="I31" s="270" t="s">
        <v>137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636</v>
      </c>
      <c r="I32" s="271" t="s">
        <v>637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638</v>
      </c>
      <c r="I33" s="268" t="s">
        <v>633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552</v>
      </c>
      <c r="C35" s="24" t="s">
        <v>499</v>
      </c>
      <c r="D35" s="42">
        <v>7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553</v>
      </c>
      <c r="C37" s="5" t="s">
        <v>367</v>
      </c>
      <c r="D37" s="34">
        <v>1500000</v>
      </c>
      <c r="E37" s="15" t="s">
        <v>510</v>
      </c>
      <c r="I37" s="268"/>
      <c r="J37" s="268"/>
      <c r="K37" s="268"/>
      <c r="L37" s="268"/>
      <c r="M37" s="269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554</v>
      </c>
      <c r="C40" s="5" t="s">
        <v>368</v>
      </c>
      <c r="D40" s="36">
        <v>500</v>
      </c>
      <c r="E40" s="15" t="s">
        <v>544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543</v>
      </c>
    </row>
    <row r="44" spans="2:39" ht="18" customHeight="1">
      <c r="C44" s="3" t="s">
        <v>545</v>
      </c>
    </row>
    <row r="45" spans="2:39" ht="18" customHeight="1">
      <c r="C45" s="3"/>
    </row>
    <row r="46" spans="2:39" ht="15" customHeight="1">
      <c r="B46" s="22" t="s">
        <v>555</v>
      </c>
      <c r="C46" s="60" t="s">
        <v>579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590</v>
      </c>
      <c r="D48" s="45" t="s">
        <v>668</v>
      </c>
    </row>
    <row r="49" spans="3:4" ht="18" customHeight="1">
      <c r="C49" s="22" t="s">
        <v>591</v>
      </c>
      <c r="D49" s="45"/>
    </row>
    <row r="50" spans="3:4" ht="18" customHeight="1">
      <c r="C50" s="22" t="s">
        <v>592</v>
      </c>
      <c r="D50" s="45"/>
    </row>
    <row r="51" spans="3:4" ht="18" customHeight="1">
      <c r="C51" s="22" t="s">
        <v>593</v>
      </c>
      <c r="D51" s="45"/>
    </row>
    <row r="52" spans="3:4" ht="18" customHeight="1">
      <c r="C52" s="22" t="s">
        <v>594</v>
      </c>
      <c r="D52" s="45"/>
    </row>
    <row r="53" spans="3:4" ht="18" customHeight="1">
      <c r="C53" s="22" t="s">
        <v>595</v>
      </c>
      <c r="D53" s="45"/>
    </row>
    <row r="54" spans="3:4" ht="18" customHeight="1">
      <c r="C54" s="22" t="s">
        <v>596</v>
      </c>
      <c r="D54" s="45"/>
    </row>
    <row r="55" spans="3:4" ht="18" customHeight="1">
      <c r="C55" s="22" t="s">
        <v>597</v>
      </c>
      <c r="D55" s="45"/>
    </row>
    <row r="56" spans="3:4" ht="18" customHeight="1">
      <c r="C56" s="22" t="s">
        <v>598</v>
      </c>
      <c r="D56" s="45"/>
    </row>
    <row r="57" spans="3:4" ht="18" customHeight="1">
      <c r="C57" s="22" t="s">
        <v>599</v>
      </c>
      <c r="D57" s="45"/>
    </row>
    <row r="58" spans="3:4" ht="18" customHeight="1">
      <c r="C58" s="22" t="s">
        <v>600</v>
      </c>
      <c r="D58" s="45"/>
    </row>
    <row r="59" spans="3:4" ht="18" customHeight="1">
      <c r="C59" s="22" t="s">
        <v>601</v>
      </c>
      <c r="D59" s="45"/>
    </row>
    <row r="60" spans="3:4" ht="18" customHeight="1">
      <c r="C60" s="22" t="s">
        <v>602</v>
      </c>
      <c r="D60" s="45"/>
    </row>
    <row r="61" spans="3:4" ht="18" customHeight="1">
      <c r="C61" s="22" t="s">
        <v>603</v>
      </c>
      <c r="D61" s="45"/>
    </row>
    <row r="62" spans="3:4" ht="18" customHeight="1">
      <c r="C62" s="22" t="s">
        <v>604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31" zoomScale="70" zoomScaleNormal="70" workbookViewId="0">
      <selection activeCell="E70" sqref="E70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Netzbetreiber!D9</f>
        <v>Stadtwerke Karlsruhe Netzservice GmbH</v>
      </c>
      <c r="F4" s="331"/>
      <c r="G4" s="331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Netzbetreiber!D28</f>
        <v>Karlsruhe und Rheinstetten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Netzbetreiber!D11</f>
        <v>9870043100005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Netzbetreiber!D6</f>
        <v>41548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1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 t="str">
        <f>INDEX('SLP-Verfahren'!D48:D62,'SLP-Temp-Gebiet #01'!F10)</f>
        <v>Rheinstetten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588</v>
      </c>
      <c r="D13" s="341"/>
      <c r="E13" s="341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452</v>
      </c>
      <c r="D14" s="342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2" t="s">
        <v>389</v>
      </c>
      <c r="D15" s="342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531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140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668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>
        <v>10731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DWD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Rheinstetten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>
        <f>E25</f>
        <v>10731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v>1</v>
      </c>
    </row>
    <row r="63" spans="2:28" ht="15" customHeight="1">
      <c r="E63" s="177">
        <f>IF(E64&gt;$F$62,0,1)</f>
        <v>1</v>
      </c>
      <c r="F63" s="177">
        <f t="shared" ref="F63:N63" si="11">IF(F64&gt;$F$62,0,1)</f>
        <v>0</v>
      </c>
      <c r="G63" s="177">
        <f t="shared" si="11"/>
        <v>0</v>
      </c>
      <c r="H63" s="177">
        <f t="shared" si="11"/>
        <v>0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1</v>
      </c>
      <c r="F65" s="280">
        <f>ROUND(F66/$D$66,4)</f>
        <v>0.5</v>
      </c>
      <c r="G65" s="280">
        <f t="shared" ref="G65:N65" si="12">ROUND(G66/$D$66,4)</f>
        <v>0.25</v>
      </c>
      <c r="H65" s="280">
        <f t="shared" si="12"/>
        <v>0.125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536</v>
      </c>
      <c r="D66" s="185">
        <f>SUMPRODUCT(E66:N66,E63:N63)</f>
        <v>1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143</v>
      </c>
    </row>
    <row r="71" spans="2:15"/>
    <row r="72" spans="2:15" ht="15.75" customHeight="1">
      <c r="C72" s="343" t="s">
        <v>583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Netzbetreiber!$D$9</f>
        <v>Stadtwerke Karlsruhe Netzservice GmbH</v>
      </c>
      <c r="F4" s="130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Netzbetreiber!$D$28</f>
        <v>Karlsruhe und Rheinstetten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Netzbetreiber!$D$11</f>
        <v>9870043100005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Netzbetreiber!$D$6</f>
        <v>41548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2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1" t="s">
        <v>588</v>
      </c>
      <c r="D13" s="341"/>
      <c r="E13" s="341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2" t="s">
        <v>452</v>
      </c>
      <c r="D14" s="342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2" t="s">
        <v>389</v>
      </c>
      <c r="D15" s="342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531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140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584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536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143</v>
      </c>
    </row>
    <row r="71" spans="2:15"/>
    <row r="72" spans="2:15" ht="15.75" customHeight="1">
      <c r="C72" s="343" t="s">
        <v>583</v>
      </c>
      <c r="D72" s="343"/>
      <c r="E72" s="343"/>
      <c r="F72" s="34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D15" sqref="D15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470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371</v>
      </c>
      <c r="D5" s="54" t="str">
        <f>Netzbetreiber!$D$9</f>
        <v>Stadtwerke Karlsruhe Netzservice GmbH</v>
      </c>
      <c r="E5" s="130"/>
      <c r="J5" s="88" t="s">
        <v>501</v>
      </c>
      <c r="K5" s="131" t="s">
        <v>504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338</v>
      </c>
      <c r="D6" s="54" t="str">
        <f>Netzbetreiber!$D$28</f>
        <v>Karlsruhe und Rheinstetten</v>
      </c>
      <c r="E6" s="130"/>
      <c r="F6" s="130"/>
      <c r="K6" s="131" t="s">
        <v>512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491</v>
      </c>
      <c r="D7" s="54" t="str">
        <f>Netzbetreiber!$D$11</f>
        <v>9870043100005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134</v>
      </c>
      <c r="D8" s="52">
        <f>Netzbetreiber!$D$6</f>
        <v>41548</v>
      </c>
      <c r="E8" s="130"/>
      <c r="F8" s="130"/>
      <c r="H8" s="128" t="s">
        <v>499</v>
      </c>
      <c r="J8" s="132">
        <f>COUNTA(D12:D100)</f>
        <v>7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498</v>
      </c>
      <c r="D10" s="134" t="s">
        <v>148</v>
      </c>
      <c r="E10" s="273" t="s">
        <v>514</v>
      </c>
      <c r="F10" s="135" t="s">
        <v>149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639</v>
      </c>
      <c r="M10" s="150" t="s">
        <v>648</v>
      </c>
      <c r="N10" s="151" t="s">
        <v>649</v>
      </c>
      <c r="O10" s="151" t="s">
        <v>650</v>
      </c>
      <c r="P10" s="152" t="s">
        <v>651</v>
      </c>
      <c r="Q10" s="146" t="s">
        <v>640</v>
      </c>
      <c r="R10" s="136" t="s">
        <v>641</v>
      </c>
      <c r="S10" s="137" t="s">
        <v>642</v>
      </c>
      <c r="T10" s="137" t="s">
        <v>643</v>
      </c>
      <c r="U10" s="137" t="s">
        <v>644</v>
      </c>
      <c r="V10" s="137" t="s">
        <v>645</v>
      </c>
      <c r="W10" s="137" t="s">
        <v>646</v>
      </c>
      <c r="X10" s="138" t="s">
        <v>647</v>
      </c>
      <c r="Y10" s="295" t="s">
        <v>652</v>
      </c>
    </row>
    <row r="11" spans="2:26" ht="15.75" thickBot="1">
      <c r="B11" s="139" t="s">
        <v>500</v>
      </c>
      <c r="C11" s="140" t="s">
        <v>513</v>
      </c>
      <c r="D11" s="294" t="s">
        <v>248</v>
      </c>
      <c r="E11" s="164" t="s">
        <v>520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41" si="0">$D$6</f>
        <v>Karlsruhe und Rheinstetten</v>
      </c>
      <c r="D12" s="62" t="s">
        <v>669</v>
      </c>
      <c r="E12" s="165" t="s">
        <v>4</v>
      </c>
      <c r="F12" s="297" t="str">
        <f>VLOOKUP($E12,'BDEW-Standard'!$B$3:$M$94,F$9,0)</f>
        <v>D13</v>
      </c>
      <c r="H12" s="274">
        <v>2.9093709826601701</v>
      </c>
      <c r="I12" s="274">
        <v>-35.831311061645103</v>
      </c>
      <c r="J12" s="274">
        <v>7.3938882654784299</v>
      </c>
      <c r="K12" s="274">
        <v>0.139584895479334</v>
      </c>
      <c r="L12" s="338">
        <f>ROUND(VLOOKUP($E12,'BDEW-Standard'!$B$3:$M$94,L$9,0),1)</f>
        <v>40</v>
      </c>
      <c r="M12" s="274">
        <v>0</v>
      </c>
      <c r="N12" s="274">
        <v>0</v>
      </c>
      <c r="O12" s="274">
        <v>0</v>
      </c>
      <c r="P12" s="274">
        <v>0</v>
      </c>
      <c r="Q12" s="339">
        <f t="shared" ref="Q12:Q26" si="1">($H12/(1+($I12/($Q$9-$L12))^$J12)+$K12)+MAX($M12*$Q$9+$N12,$O12*$Q$9+$P12)</f>
        <v>1.0192242460473646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 t="str">
        <f t="shared" si="0"/>
        <v>Karlsruhe und Rheinstetten</v>
      </c>
      <c r="D13" s="62" t="s">
        <v>669</v>
      </c>
      <c r="E13" s="165" t="s">
        <v>587</v>
      </c>
      <c r="F13" s="297" t="str">
        <f>VLOOKUP($E13,'BDEW-Standard'!$B$3:$M$94,F$9,0)</f>
        <v>D23</v>
      </c>
      <c r="H13" s="274">
        <v>2.8065356962547798</v>
      </c>
      <c r="I13" s="274">
        <v>-34.607432132010103</v>
      </c>
      <c r="J13" s="274">
        <v>6.58376761035918</v>
      </c>
      <c r="K13" s="274">
        <v>5.5377505080069001E-2</v>
      </c>
      <c r="L13" s="338">
        <f>ROUND(VLOOKUP($E13,'BDEW-Standard'!$B$3:$M$94,L$9,0),1)</f>
        <v>40</v>
      </c>
      <c r="M13" s="274">
        <v>0</v>
      </c>
      <c r="N13" s="274">
        <v>0</v>
      </c>
      <c r="O13" s="274">
        <v>0</v>
      </c>
      <c r="P13" s="274">
        <v>0</v>
      </c>
      <c r="Q13" s="339">
        <f t="shared" si="1"/>
        <v>1.1046087294499047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6" si="2">7-SUM(R13:W13)</f>
        <v>1</v>
      </c>
      <c r="Y13" s="293"/>
      <c r="Z13" s="211"/>
    </row>
    <row r="14" spans="2:26" s="143" customFormat="1">
      <c r="B14" s="144">
        <v>3</v>
      </c>
      <c r="C14" s="145" t="str">
        <f t="shared" si="0"/>
        <v>Karlsruhe und Rheinstetten</v>
      </c>
      <c r="D14" s="62" t="s">
        <v>248</v>
      </c>
      <c r="E14" s="165" t="s">
        <v>670</v>
      </c>
      <c r="F14" s="297" t="str">
        <f>VLOOKUP($E14,'BDEW-Standard'!$B$3:$M$94,F$9,0)</f>
        <v>KO4</v>
      </c>
      <c r="H14" s="274">
        <f>ROUND(VLOOKUP($E14,'BDEW-Standard'!$B$3:$M$94,H$9,0),7)</f>
        <v>3.4428942999999999</v>
      </c>
      <c r="I14" s="274">
        <f>ROUND(VLOOKUP($E14,'BDEW-Standard'!$B$3:$M$94,I$9,0),7)</f>
        <v>-36.659050399999998</v>
      </c>
      <c r="J14" s="274">
        <f>ROUND(VLOOKUP($E14,'BDEW-Standard'!$B$3:$M$94,J$9,0),7)</f>
        <v>7.6083226000000002</v>
      </c>
      <c r="K14" s="274">
        <f>ROUND(VLOOKUP($E14,'BDEW-Standard'!$B$3:$M$94,K$9,0),7)</f>
        <v>7.4685000000000001E-2</v>
      </c>
      <c r="L14" s="338">
        <f>ROUND(VLOOKUP($E14,'BDEW-Standard'!$B$3:$M$94,L$9,0),1)</f>
        <v>40</v>
      </c>
      <c r="M14" s="274">
        <v>0</v>
      </c>
      <c r="N14" s="274">
        <v>0</v>
      </c>
      <c r="O14" s="274">
        <v>0</v>
      </c>
      <c r="P14" s="274">
        <v>0</v>
      </c>
      <c r="Q14" s="339">
        <f t="shared" si="1"/>
        <v>0.97768382110526542</v>
      </c>
      <c r="R14" s="275">
        <f>ROUND(VLOOKUP(MID($E14,4,3),'Wochentag F(WT)'!$B$7:$J$22,R$9,0),4)</f>
        <v>1.0354000000000001</v>
      </c>
      <c r="S14" s="275">
        <f>ROUND(VLOOKUP(MID($E14,4,3),'Wochentag F(WT)'!$B$7:$J$22,S$9,0),4)</f>
        <v>1.0523</v>
      </c>
      <c r="T14" s="275">
        <f>ROUND(VLOOKUP(MID($E14,4,3),'Wochentag F(WT)'!$B$7:$J$22,T$9,0),4)</f>
        <v>1.0448999999999999</v>
      </c>
      <c r="U14" s="275">
        <f>ROUND(VLOOKUP(MID($E14,4,3),'Wochentag F(WT)'!$B$7:$J$22,U$9,0),4)</f>
        <v>1.0494000000000001</v>
      </c>
      <c r="V14" s="275">
        <f>ROUND(VLOOKUP(MID($E14,4,3),'Wochentag F(WT)'!$B$7:$J$22,V$9,0),4)</f>
        <v>0.98850000000000005</v>
      </c>
      <c r="W14" s="275">
        <f>ROUND(VLOOKUP(MID($E14,4,3),'Wochentag F(WT)'!$B$7:$J$22,W$9,0),4)</f>
        <v>0.88600000000000001</v>
      </c>
      <c r="X14" s="276">
        <f t="shared" si="2"/>
        <v>0.94349999999999934</v>
      </c>
      <c r="Y14" s="293"/>
      <c r="Z14" s="211"/>
    </row>
    <row r="15" spans="2:26" s="143" customFormat="1">
      <c r="B15" s="144">
        <v>4</v>
      </c>
      <c r="C15" s="145" t="str">
        <f t="shared" si="0"/>
        <v>Karlsruhe und Rheinstetten</v>
      </c>
      <c r="D15" s="62" t="s">
        <v>248</v>
      </c>
      <c r="E15" s="165" t="s">
        <v>671</v>
      </c>
      <c r="F15" s="297" t="str">
        <f>VLOOKUP($E15,'BDEW-Standard'!$B$3:$M$94,F$9,0)</f>
        <v>HA4</v>
      </c>
      <c r="H15" s="274">
        <f>ROUND(VLOOKUP($E15,'BDEW-Standard'!$B$3:$M$94,H$9,0),7)</f>
        <v>4.0196902000000003</v>
      </c>
      <c r="I15" s="274">
        <f>ROUND(VLOOKUP($E15,'BDEW-Standard'!$B$3:$M$94,I$9,0),7)</f>
        <v>-37.828203700000003</v>
      </c>
      <c r="J15" s="274">
        <f>ROUND(VLOOKUP($E15,'BDEW-Standard'!$B$3:$M$94,J$9,0),7)</f>
        <v>8.1593368999999996</v>
      </c>
      <c r="K15" s="274">
        <f>ROUND(VLOOKUP($E15,'BDEW-Standard'!$B$3:$M$94,K$9,0),7)</f>
        <v>4.72845E-2</v>
      </c>
      <c r="L15" s="338">
        <f>ROUND(VLOOKUP($E15,'BDEW-Standard'!$B$3:$M$94,L$9,0),1)</f>
        <v>40</v>
      </c>
      <c r="M15" s="274">
        <v>0</v>
      </c>
      <c r="N15" s="274">
        <v>0</v>
      </c>
      <c r="O15" s="274">
        <v>0</v>
      </c>
      <c r="P15" s="274">
        <v>0</v>
      </c>
      <c r="Q15" s="339">
        <f t="shared" si="1"/>
        <v>0.86486713303260787</v>
      </c>
      <c r="R15" s="275">
        <f>ROUND(VLOOKUP(MID($E15,4,3),'Wochentag F(WT)'!$B$7:$J$22,R$9,0),4)</f>
        <v>1.0358000000000001</v>
      </c>
      <c r="S15" s="275">
        <f>ROUND(VLOOKUP(MID($E15,4,3),'Wochentag F(WT)'!$B$7:$J$22,S$9,0),4)</f>
        <v>1.0232000000000001</v>
      </c>
      <c r="T15" s="275">
        <f>ROUND(VLOOKUP(MID($E15,4,3),'Wochentag F(WT)'!$B$7:$J$22,T$9,0),4)</f>
        <v>1.0251999999999999</v>
      </c>
      <c r="U15" s="275">
        <f>ROUND(VLOOKUP(MID($E15,4,3),'Wochentag F(WT)'!$B$7:$J$22,U$9,0),4)</f>
        <v>1.0295000000000001</v>
      </c>
      <c r="V15" s="275">
        <f>ROUND(VLOOKUP(MID($E15,4,3),'Wochentag F(WT)'!$B$7:$J$22,V$9,0),4)</f>
        <v>1.0253000000000001</v>
      </c>
      <c r="W15" s="275">
        <f>ROUND(VLOOKUP(MID($E15,4,3),'Wochentag F(WT)'!$B$7:$J$22,W$9,0),4)</f>
        <v>0.96750000000000003</v>
      </c>
      <c r="X15" s="276">
        <f t="shared" si="2"/>
        <v>0.89350000000000041</v>
      </c>
      <c r="Y15" s="293"/>
      <c r="Z15" s="211"/>
    </row>
    <row r="16" spans="2:26" s="143" customFormat="1">
      <c r="B16" s="144">
        <v>5</v>
      </c>
      <c r="C16" s="145" t="str">
        <f t="shared" si="0"/>
        <v>Karlsruhe und Rheinstetten</v>
      </c>
      <c r="D16" s="62" t="s">
        <v>248</v>
      </c>
      <c r="E16" s="165" t="s">
        <v>672</v>
      </c>
      <c r="F16" s="297" t="str">
        <f>VLOOKUP($E16,'BDEW-Standard'!$B$3:$M$94,F$9,0)</f>
        <v>BD4</v>
      </c>
      <c r="H16" s="274">
        <f>ROUND(VLOOKUP($E16,'BDEW-Standard'!$B$3:$M$94,H$9,0),7)</f>
        <v>3.75</v>
      </c>
      <c r="I16" s="274">
        <f>ROUND(VLOOKUP($E16,'BDEW-Standard'!$B$3:$M$94,I$9,0),7)</f>
        <v>-37.5</v>
      </c>
      <c r="J16" s="274">
        <f>ROUND(VLOOKUP($E16,'BDEW-Standard'!$B$3:$M$94,J$9,0),7)</f>
        <v>6.8</v>
      </c>
      <c r="K16" s="274">
        <f>ROUND(VLOOKUP($E16,'BDEW-Standard'!$B$3:$M$94,K$9,0),7)</f>
        <v>6.0911300000000002E-2</v>
      </c>
      <c r="L16" s="338">
        <f>ROUND(VLOOKUP($E16,'BDEW-Standard'!$B$3:$M$94,L$9,0),1)</f>
        <v>40</v>
      </c>
      <c r="M16" s="274">
        <v>0</v>
      </c>
      <c r="N16" s="274">
        <v>0</v>
      </c>
      <c r="O16" s="274">
        <v>0</v>
      </c>
      <c r="P16" s="274">
        <v>0</v>
      </c>
      <c r="Q16" s="339">
        <f t="shared" si="1"/>
        <v>1.0126136468627658</v>
      </c>
      <c r="R16" s="275">
        <f>ROUND(VLOOKUP(MID($E16,4,3),'Wochentag F(WT)'!$B$7:$J$22,R$9,0),4)</f>
        <v>1.1052</v>
      </c>
      <c r="S16" s="275">
        <f>ROUND(VLOOKUP(MID($E16,4,3),'Wochentag F(WT)'!$B$7:$J$22,S$9,0),4)</f>
        <v>1.0857000000000001</v>
      </c>
      <c r="T16" s="275">
        <f>ROUND(VLOOKUP(MID($E16,4,3),'Wochentag F(WT)'!$B$7:$J$22,T$9,0),4)</f>
        <v>1.0378000000000001</v>
      </c>
      <c r="U16" s="275">
        <f>ROUND(VLOOKUP(MID($E16,4,3),'Wochentag F(WT)'!$B$7:$J$22,U$9,0),4)</f>
        <v>1.0622</v>
      </c>
      <c r="V16" s="275">
        <f>ROUND(VLOOKUP(MID($E16,4,3),'Wochentag F(WT)'!$B$7:$J$22,V$9,0),4)</f>
        <v>1.0266</v>
      </c>
      <c r="W16" s="275">
        <f>ROUND(VLOOKUP(MID($E16,4,3),'Wochentag F(WT)'!$B$7:$J$22,W$9,0),4)</f>
        <v>0.76290000000000002</v>
      </c>
      <c r="X16" s="276">
        <f t="shared" si="2"/>
        <v>0.91959999999999997</v>
      </c>
      <c r="Y16" s="293"/>
      <c r="Z16" s="211"/>
    </row>
    <row r="17" spans="2:26" s="143" customFormat="1">
      <c r="B17" s="144">
        <v>6</v>
      </c>
      <c r="C17" s="145" t="str">
        <f t="shared" si="0"/>
        <v>Karlsruhe und Rheinstetten</v>
      </c>
      <c r="D17" s="62" t="s">
        <v>248</v>
      </c>
      <c r="E17" s="165" t="s">
        <v>673</v>
      </c>
      <c r="F17" s="297" t="str">
        <f>VLOOKUP($E17,'BDEW-Standard'!$B$3:$M$94,F$9,0)</f>
        <v>MK4</v>
      </c>
      <c r="H17" s="274">
        <f>ROUND(VLOOKUP($E17,'BDEW-Standard'!$B$3:$M$94,H$9,0),7)</f>
        <v>3.1177248</v>
      </c>
      <c r="I17" s="274">
        <f>ROUND(VLOOKUP($E17,'BDEW-Standard'!$B$3:$M$94,I$9,0),7)</f>
        <v>-35.871506199999999</v>
      </c>
      <c r="J17" s="274">
        <f>ROUND(VLOOKUP($E17,'BDEW-Standard'!$B$3:$M$94,J$9,0),7)</f>
        <v>7.5186828999999999</v>
      </c>
      <c r="K17" s="274">
        <f>ROUND(VLOOKUP($E17,'BDEW-Standard'!$B$3:$M$94,K$9,0),7)</f>
        <v>3.4330100000000002E-2</v>
      </c>
      <c r="L17" s="338">
        <f>ROUND(VLOOKUP($E17,'BDEW-Standard'!$B$3:$M$94,L$9,0),1)</f>
        <v>40</v>
      </c>
      <c r="M17" s="274">
        <v>0</v>
      </c>
      <c r="N17" s="274">
        <v>0</v>
      </c>
      <c r="O17" s="274">
        <v>0</v>
      </c>
      <c r="P17" s="274">
        <v>0</v>
      </c>
      <c r="Q17" s="339">
        <f t="shared" si="1"/>
        <v>0.9622064996731321</v>
      </c>
      <c r="R17" s="275">
        <f>ROUND(VLOOKUP(MID($E17,4,3),'Wochentag F(WT)'!$B$7:$J$22,R$9,0),4)</f>
        <v>1.0699000000000001</v>
      </c>
      <c r="S17" s="275">
        <f>ROUND(VLOOKUP(MID($E17,4,3),'Wochentag F(WT)'!$B$7:$J$22,S$9,0),4)</f>
        <v>1.0365</v>
      </c>
      <c r="T17" s="275">
        <f>ROUND(VLOOKUP(MID($E17,4,3),'Wochentag F(WT)'!$B$7:$J$22,T$9,0),4)</f>
        <v>0.99329999999999996</v>
      </c>
      <c r="U17" s="275">
        <f>ROUND(VLOOKUP(MID($E17,4,3),'Wochentag F(WT)'!$B$7:$J$22,U$9,0),4)</f>
        <v>0.99480000000000002</v>
      </c>
      <c r="V17" s="275">
        <f>ROUND(VLOOKUP(MID($E17,4,3),'Wochentag F(WT)'!$B$7:$J$22,V$9,0),4)</f>
        <v>1.0659000000000001</v>
      </c>
      <c r="W17" s="275">
        <f>ROUND(VLOOKUP(MID($E17,4,3),'Wochentag F(WT)'!$B$7:$J$22,W$9,0),4)</f>
        <v>0.93620000000000003</v>
      </c>
      <c r="X17" s="276">
        <f t="shared" si="2"/>
        <v>0.90339999999999954</v>
      </c>
      <c r="Y17" s="293"/>
      <c r="Z17" s="211"/>
    </row>
    <row r="18" spans="2:26" s="143" customFormat="1">
      <c r="B18" s="144">
        <v>7</v>
      </c>
      <c r="C18" s="145" t="str">
        <f t="shared" si="0"/>
        <v>Karlsruhe und Rheinstetten</v>
      </c>
      <c r="D18" s="62" t="s">
        <v>248</v>
      </c>
      <c r="E18" s="165" t="s">
        <v>5</v>
      </c>
      <c r="F18" s="297" t="str">
        <f>VLOOKUP($E18,'BDEW-Standard'!$B$3:$M$94,F$9,0)</f>
        <v>HK3</v>
      </c>
      <c r="H18" s="274">
        <f>ROUND(VLOOKUP($E18,'BDEW-Standard'!$B$3:$M$94,H$9,0),7)</f>
        <v>0.40409319999999999</v>
      </c>
      <c r="I18" s="274">
        <f>ROUND(VLOOKUP($E18,'BDEW-Standard'!$B$3:$M$94,I$9,0),7)</f>
        <v>-24.439296800000001</v>
      </c>
      <c r="J18" s="274">
        <f>ROUND(VLOOKUP($E18,'BDEW-Standard'!$B$3:$M$94,J$9,0),7)</f>
        <v>6.5718174999999999</v>
      </c>
      <c r="K18" s="274">
        <f>ROUND(VLOOKUP($E18,'BDEW-Standard'!$B$3:$M$94,K$9,0),7)</f>
        <v>0.71077100000000004</v>
      </c>
      <c r="L18" s="338">
        <f>ROUND(VLOOKUP($E18,'BDEW-Standard'!$B$3:$M$94,L$9,0),1)</f>
        <v>40</v>
      </c>
      <c r="M18" s="274">
        <v>0</v>
      </c>
      <c r="N18" s="274">
        <v>0</v>
      </c>
      <c r="O18" s="274">
        <v>0</v>
      </c>
      <c r="P18" s="274">
        <v>0</v>
      </c>
      <c r="Q18" s="339">
        <f t="shared" si="1"/>
        <v>1.0561214000512988</v>
      </c>
      <c r="R18" s="275">
        <f>ROUND(VLOOKUP(MID($E18,4,3),'Wochentag F(WT)'!$B$7:$J$22,R$9,0),4)</f>
        <v>1</v>
      </c>
      <c r="S18" s="275">
        <f>ROUND(VLOOKUP(MID($E18,4,3),'Wochentag F(WT)'!$B$7:$J$22,S$9,0),4)</f>
        <v>1</v>
      </c>
      <c r="T18" s="275">
        <f>ROUND(VLOOKUP(MID($E18,4,3),'Wochentag F(WT)'!$B$7:$J$22,T$9,0),4)</f>
        <v>1</v>
      </c>
      <c r="U18" s="275">
        <f>ROUND(VLOOKUP(MID($E18,4,3),'Wochentag F(WT)'!$B$7:$J$22,U$9,0),4)</f>
        <v>1</v>
      </c>
      <c r="V18" s="275">
        <f>ROUND(VLOOKUP(MID($E18,4,3),'Wochentag F(WT)'!$B$7:$J$22,V$9,0),4)</f>
        <v>1</v>
      </c>
      <c r="W18" s="275">
        <f>ROUND(VLOOKUP(MID($E18,4,3),'Wochentag F(WT)'!$B$7:$J$22,W$9,0),4)</f>
        <v>1</v>
      </c>
      <c r="X18" s="276">
        <f t="shared" si="2"/>
        <v>1</v>
      </c>
      <c r="Y18" s="293"/>
      <c r="Z18" s="211"/>
    </row>
    <row r="19" spans="2:26" s="143" customFormat="1">
      <c r="B19" s="144">
        <v>8</v>
      </c>
      <c r="C19" s="145"/>
      <c r="D19" s="62"/>
      <c r="E19" s="165"/>
      <c r="F19" s="297"/>
      <c r="H19" s="274"/>
      <c r="I19" s="274"/>
      <c r="J19" s="274"/>
      <c r="K19" s="274"/>
      <c r="L19" s="338"/>
      <c r="M19" s="274"/>
      <c r="N19" s="274"/>
      <c r="O19" s="274"/>
      <c r="P19" s="274"/>
      <c r="Q19" s="339"/>
      <c r="R19" s="275"/>
      <c r="S19" s="275"/>
      <c r="T19" s="275"/>
      <c r="U19" s="275"/>
      <c r="V19" s="275"/>
      <c r="W19" s="275"/>
      <c r="X19" s="276"/>
      <c r="Y19" s="293"/>
      <c r="Z19" s="211"/>
    </row>
    <row r="20" spans="2:26" s="143" customFormat="1">
      <c r="B20" s="144">
        <v>9</v>
      </c>
      <c r="C20" s="145"/>
      <c r="D20" s="62"/>
      <c r="E20" s="165"/>
      <c r="F20" s="297"/>
      <c r="H20" s="274"/>
      <c r="I20" s="274"/>
      <c r="J20" s="274"/>
      <c r="K20" s="274"/>
      <c r="L20" s="338"/>
      <c r="M20" s="274"/>
      <c r="N20" s="274"/>
      <c r="O20" s="274"/>
      <c r="P20" s="274"/>
      <c r="Q20" s="339"/>
      <c r="R20" s="275"/>
      <c r="S20" s="275"/>
      <c r="T20" s="275"/>
      <c r="U20" s="275"/>
      <c r="V20" s="275"/>
      <c r="W20" s="275"/>
      <c r="X20" s="276"/>
      <c r="Y20" s="293"/>
      <c r="Z20" s="211"/>
    </row>
    <row r="21" spans="2:26" s="143" customFormat="1">
      <c r="B21" s="144">
        <v>10</v>
      </c>
      <c r="C21" s="145"/>
      <c r="D21" s="62"/>
      <c r="E21" s="165"/>
      <c r="F21" s="297"/>
      <c r="H21" s="274"/>
      <c r="I21" s="274"/>
      <c r="J21" s="274"/>
      <c r="K21" s="274"/>
      <c r="L21" s="338"/>
      <c r="M21" s="274"/>
      <c r="N21" s="274"/>
      <c r="O21" s="274"/>
      <c r="P21" s="274"/>
      <c r="Q21" s="339"/>
      <c r="R21" s="275"/>
      <c r="S21" s="275"/>
      <c r="T21" s="275"/>
      <c r="U21" s="275"/>
      <c r="V21" s="275"/>
      <c r="W21" s="275"/>
      <c r="X21" s="276"/>
      <c r="Y21" s="293"/>
      <c r="Z21" s="211"/>
    </row>
    <row r="22" spans="2:26" s="143" customFormat="1">
      <c r="B22" s="144">
        <v>11</v>
      </c>
      <c r="C22" s="145"/>
      <c r="D22" s="62"/>
      <c r="E22" s="165"/>
      <c r="F22" s="297"/>
      <c r="H22" s="274"/>
      <c r="I22" s="274"/>
      <c r="J22" s="274"/>
      <c r="K22" s="274"/>
      <c r="L22" s="338"/>
      <c r="M22" s="274"/>
      <c r="N22" s="274"/>
      <c r="O22" s="274"/>
      <c r="P22" s="274"/>
      <c r="Q22" s="339"/>
      <c r="R22" s="275"/>
      <c r="S22" s="275"/>
      <c r="T22" s="275"/>
      <c r="U22" s="275"/>
      <c r="V22" s="275"/>
      <c r="W22" s="275"/>
      <c r="X22" s="276"/>
      <c r="Y22" s="293"/>
      <c r="Z22" s="211"/>
    </row>
    <row r="23" spans="2:26" s="143" customFormat="1">
      <c r="B23" s="144">
        <v>12</v>
      </c>
      <c r="C23" s="145"/>
      <c r="D23" s="62"/>
      <c r="E23" s="165"/>
      <c r="F23" s="297"/>
      <c r="H23" s="274"/>
      <c r="I23" s="274"/>
      <c r="J23" s="274"/>
      <c r="K23" s="274"/>
      <c r="L23" s="338"/>
      <c r="M23" s="274"/>
      <c r="N23" s="274"/>
      <c r="O23" s="274"/>
      <c r="P23" s="274"/>
      <c r="Q23" s="339"/>
      <c r="R23" s="275"/>
      <c r="S23" s="275"/>
      <c r="T23" s="275"/>
      <c r="U23" s="275"/>
      <c r="V23" s="275"/>
      <c r="W23" s="275"/>
      <c r="X23" s="276"/>
      <c r="Y23" s="293"/>
      <c r="Z23" s="211"/>
    </row>
    <row r="24" spans="2:26" s="143" customFormat="1">
      <c r="B24" s="144">
        <v>13</v>
      </c>
      <c r="C24" s="145"/>
      <c r="D24" s="62"/>
      <c r="E24" s="165"/>
      <c r="F24" s="297"/>
      <c r="H24" s="274"/>
      <c r="I24" s="274"/>
      <c r="J24" s="274"/>
      <c r="K24" s="274"/>
      <c r="L24" s="338"/>
      <c r="M24" s="274"/>
      <c r="N24" s="274"/>
      <c r="O24" s="274"/>
      <c r="P24" s="274"/>
      <c r="Q24" s="339"/>
      <c r="R24" s="275"/>
      <c r="S24" s="275"/>
      <c r="T24" s="275"/>
      <c r="U24" s="275"/>
      <c r="V24" s="275"/>
      <c r="W24" s="275"/>
      <c r="X24" s="276"/>
      <c r="Y24" s="293"/>
      <c r="Z24" s="211"/>
    </row>
    <row r="25" spans="2:26" s="143" customFormat="1">
      <c r="B25" s="144">
        <v>14</v>
      </c>
      <c r="C25" s="145"/>
      <c r="D25" s="62"/>
      <c r="E25" s="165"/>
      <c r="F25" s="297"/>
      <c r="H25" s="274"/>
      <c r="I25" s="274"/>
      <c r="J25" s="274"/>
      <c r="K25" s="274"/>
      <c r="L25" s="338"/>
      <c r="M25" s="274"/>
      <c r="N25" s="274"/>
      <c r="O25" s="274"/>
      <c r="P25" s="274"/>
      <c r="Q25" s="339"/>
      <c r="R25" s="275"/>
      <c r="S25" s="275"/>
      <c r="T25" s="275"/>
      <c r="U25" s="275"/>
      <c r="V25" s="275"/>
      <c r="W25" s="275"/>
      <c r="X25" s="276"/>
      <c r="Y25" s="293"/>
      <c r="Z25" s="211"/>
    </row>
    <row r="26" spans="2:26" s="143" customFormat="1">
      <c r="B26" s="144">
        <v>15</v>
      </c>
      <c r="C26" s="145"/>
      <c r="D26" s="62"/>
      <c r="E26" s="165"/>
      <c r="F26" s="297"/>
      <c r="H26" s="274"/>
      <c r="I26" s="274"/>
      <c r="J26" s="274"/>
      <c r="K26" s="274"/>
      <c r="L26" s="338"/>
      <c r="M26" s="274"/>
      <c r="N26" s="274"/>
      <c r="O26" s="274"/>
      <c r="P26" s="274"/>
      <c r="Q26" s="339"/>
      <c r="R26" s="275"/>
      <c r="S26" s="275"/>
      <c r="T26" s="275"/>
      <c r="U26" s="275"/>
      <c r="V26" s="275"/>
      <c r="W26" s="275"/>
      <c r="X26" s="276"/>
      <c r="Y26" s="293"/>
      <c r="Z26" s="211"/>
    </row>
    <row r="27" spans="2:26" s="143" customFormat="1">
      <c r="B27" s="144">
        <v>16</v>
      </c>
      <c r="C27" s="145"/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>
        <v>17</v>
      </c>
      <c r="C28" s="145"/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>
        <v>18</v>
      </c>
      <c r="C29" s="145"/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>
        <v>19</v>
      </c>
      <c r="C30" s="145"/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>
        <v>20</v>
      </c>
      <c r="C31" s="145"/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>
        <v>21</v>
      </c>
      <c r="C32" s="145"/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>
        <v>22</v>
      </c>
      <c r="C33" s="145"/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>
        <v>23</v>
      </c>
      <c r="C34" s="145"/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>
        <v>24</v>
      </c>
      <c r="C35" s="145"/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>
        <v>25</v>
      </c>
      <c r="C36" s="145"/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>
        <v>26</v>
      </c>
      <c r="C37" s="145"/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>
        <v>27</v>
      </c>
      <c r="C38" s="145"/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>
        <v>28</v>
      </c>
      <c r="C39" s="145"/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>
        <v>29</v>
      </c>
      <c r="C40" s="145"/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>
        <v>30</v>
      </c>
      <c r="C41" s="145"/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R11:Y41 M11:P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18 H14:K18 C13:C18 Q13:X18 Q12:X12" unlockedFormula="1"/>
    <ignoredError sqref="L12:L18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J12" sqref="J12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450</v>
      </c>
    </row>
    <row r="3" spans="2:30" ht="15" customHeight="1">
      <c r="B3" s="84"/>
    </row>
    <row r="4" spans="2:30" ht="15" customHeight="1">
      <c r="B4" s="85" t="s">
        <v>449</v>
      </c>
      <c r="C4" s="63" t="str">
        <f>Netzbetreiber!$D$9</f>
        <v>Stadtwerke Karlsruhe Netzservice GmbH</v>
      </c>
      <c r="D4" s="76"/>
      <c r="G4" s="76"/>
      <c r="I4" s="76"/>
      <c r="J4" s="77"/>
      <c r="M4" s="86" t="s">
        <v>542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448</v>
      </c>
      <c r="C5" s="64" t="str">
        <f>Netzbetreiber!$D$28</f>
        <v>Karlsruhe und Rheinstetten</v>
      </c>
      <c r="D5" s="37"/>
      <c r="E5" s="76"/>
      <c r="F5" s="76"/>
      <c r="G5" s="76"/>
      <c r="I5" s="76"/>
      <c r="J5" s="76"/>
      <c r="K5" s="76"/>
      <c r="L5" s="76"/>
      <c r="M5" s="88" t="s">
        <v>511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446</v>
      </c>
      <c r="C6" s="63" t="str">
        <f>Netzbetreiber!$D$11</f>
        <v>9870043100005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41548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4" t="s">
        <v>462</v>
      </c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  <c r="AC8" s="345"/>
      <c r="AD8" s="346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471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49" t="s">
        <v>586</v>
      </c>
      <c r="C10" s="350"/>
      <c r="D10" s="94">
        <v>2</v>
      </c>
      <c r="E10" s="95" t="str">
        <f>IF(ISERROR(HLOOKUP(E$11,$M$9:$AD$33,$D10,0)),"",HLOOKUP(E$11,$M$9:$AD$33,$D10,0))</f>
        <v/>
      </c>
      <c r="F10" s="347" t="s">
        <v>399</v>
      </c>
      <c r="G10" s="347"/>
      <c r="H10" s="347"/>
      <c r="I10" s="347"/>
      <c r="J10" s="347"/>
      <c r="K10" s="347"/>
      <c r="L10" s="348"/>
      <c r="M10" s="96" t="s">
        <v>472</v>
      </c>
      <c r="N10" s="97" t="s">
        <v>473</v>
      </c>
      <c r="O10" s="98" t="s">
        <v>474</v>
      </c>
      <c r="P10" s="99" t="s">
        <v>475</v>
      </c>
      <c r="Q10" s="99" t="s">
        <v>476</v>
      </c>
      <c r="R10" s="99" t="s">
        <v>477</v>
      </c>
      <c r="S10" s="99" t="s">
        <v>478</v>
      </c>
      <c r="T10" s="99" t="s">
        <v>479</v>
      </c>
      <c r="U10" s="99" t="s">
        <v>480</v>
      </c>
      <c r="V10" s="99" t="s">
        <v>481</v>
      </c>
      <c r="W10" s="99" t="s">
        <v>482</v>
      </c>
      <c r="X10" s="99" t="s">
        <v>483</v>
      </c>
      <c r="Y10" s="99" t="s">
        <v>484</v>
      </c>
      <c r="Z10" s="99" t="s">
        <v>485</v>
      </c>
      <c r="AA10" s="99" t="s">
        <v>486</v>
      </c>
      <c r="AB10" s="99" t="s">
        <v>487</v>
      </c>
      <c r="AC10" s="100" t="s">
        <v>488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4">
        <f>MIN(SUMPRODUCT($M$11:$AD$11,M12:AD12),1)</f>
        <v>1</v>
      </c>
      <c r="F12" s="30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401</v>
      </c>
      <c r="C13" s="117"/>
      <c r="D13" s="111">
        <v>5</v>
      </c>
      <c r="E13" s="305">
        <f t="shared" ref="E13:E33" si="0">MIN(SUMPRODUCT($M$11:$AD$11,M13:AD13),1)</f>
        <v>0</v>
      </c>
      <c r="F13" s="302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05">
        <f t="shared" si="0"/>
        <v>0</v>
      </c>
      <c r="F14" s="302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05">
        <f t="shared" si="0"/>
        <v>0</v>
      </c>
      <c r="F15" s="302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05">
        <f t="shared" si="0"/>
        <v>1</v>
      </c>
      <c r="F16" s="30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417</v>
      </c>
      <c r="C17" s="117"/>
      <c r="D17" s="111">
        <v>9</v>
      </c>
      <c r="E17" s="305">
        <f t="shared" si="0"/>
        <v>1</v>
      </c>
      <c r="F17" s="30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418</v>
      </c>
      <c r="C18" s="117"/>
      <c r="D18" s="111">
        <v>10</v>
      </c>
      <c r="E18" s="305">
        <f t="shared" si="0"/>
        <v>1</v>
      </c>
      <c r="F18" s="30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405</v>
      </c>
      <c r="C19" s="117"/>
      <c r="D19" s="111">
        <v>11</v>
      </c>
      <c r="E19" s="305">
        <f t="shared" si="0"/>
        <v>1</v>
      </c>
      <c r="F19" s="30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653</v>
      </c>
      <c r="C20" s="117"/>
      <c r="D20" s="111">
        <v>12</v>
      </c>
      <c r="E20" s="305">
        <f t="shared" si="0"/>
        <v>1</v>
      </c>
      <c r="F20" s="302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419</v>
      </c>
      <c r="C21" s="117"/>
      <c r="D21" s="111">
        <v>13</v>
      </c>
      <c r="E21" s="305">
        <f t="shared" si="0"/>
        <v>1</v>
      </c>
      <c r="F21" s="302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420</v>
      </c>
      <c r="C22" s="117"/>
      <c r="D22" s="111">
        <v>14</v>
      </c>
      <c r="E22" s="305">
        <f t="shared" si="0"/>
        <v>1</v>
      </c>
      <c r="F22" s="302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421</v>
      </c>
      <c r="C23" s="117"/>
      <c r="D23" s="111">
        <v>15</v>
      </c>
      <c r="E23" s="305">
        <f t="shared" si="0"/>
        <v>0</v>
      </c>
      <c r="F23" s="302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406</v>
      </c>
      <c r="C24" s="117"/>
      <c r="D24" s="111">
        <v>16</v>
      </c>
      <c r="E24" s="305">
        <f t="shared" si="0"/>
        <v>0</v>
      </c>
      <c r="F24" s="302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407</v>
      </c>
      <c r="C25" s="117"/>
      <c r="D25" s="111">
        <v>17</v>
      </c>
      <c r="E25" s="305">
        <f t="shared" si="0"/>
        <v>0</v>
      </c>
      <c r="F25" s="302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408</v>
      </c>
      <c r="C26" s="117"/>
      <c r="D26" s="111">
        <v>18</v>
      </c>
      <c r="E26" s="305">
        <f t="shared" si="0"/>
        <v>1</v>
      </c>
      <c r="F26" s="30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409</v>
      </c>
      <c r="C27" s="117"/>
      <c r="D27" s="111">
        <v>19</v>
      </c>
      <c r="E27" s="305">
        <f t="shared" si="0"/>
        <v>0</v>
      </c>
      <c r="F27" s="302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410</v>
      </c>
      <c r="C28" s="117"/>
      <c r="D28" s="111">
        <v>20</v>
      </c>
      <c r="E28" s="305">
        <f t="shared" si="0"/>
        <v>0</v>
      </c>
      <c r="F28" s="30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411</v>
      </c>
      <c r="C29" s="117"/>
      <c r="D29" s="111">
        <v>21</v>
      </c>
      <c r="E29" s="305">
        <f t="shared" si="0"/>
        <v>0</v>
      </c>
      <c r="F29" s="302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412</v>
      </c>
      <c r="C30" s="117"/>
      <c r="D30" s="111">
        <v>22</v>
      </c>
      <c r="E30" s="305">
        <f t="shared" si="0"/>
        <v>0</v>
      </c>
      <c r="F30" s="302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413</v>
      </c>
      <c r="C31" s="117"/>
      <c r="D31" s="111">
        <v>23</v>
      </c>
      <c r="E31" s="305">
        <f t="shared" si="0"/>
        <v>1</v>
      </c>
      <c r="F31" s="302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414</v>
      </c>
      <c r="C32" s="117"/>
      <c r="D32" s="111">
        <v>24</v>
      </c>
      <c r="E32" s="305">
        <f t="shared" si="0"/>
        <v>1</v>
      </c>
      <c r="F32" s="302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415</v>
      </c>
      <c r="C33" s="123"/>
      <c r="D33" s="124">
        <v>25</v>
      </c>
      <c r="E33" s="306">
        <f t="shared" si="0"/>
        <v>0</v>
      </c>
      <c r="F33" s="303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348</v>
      </c>
      <c r="B1" s="213">
        <v>42173</v>
      </c>
      <c r="D1" s="131" t="s">
        <v>458</v>
      </c>
      <c r="F1" s="214" t="s">
        <v>548</v>
      </c>
      <c r="N1" s="215"/>
    </row>
    <row r="2" spans="1:14" ht="25.5">
      <c r="A2" s="216" t="s">
        <v>272</v>
      </c>
      <c r="B2" s="217" t="s">
        <v>147</v>
      </c>
      <c r="C2" s="218" t="s">
        <v>149</v>
      </c>
      <c r="D2" s="219" t="s">
        <v>150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71</v>
      </c>
      <c r="J2" s="220" t="s">
        <v>151</v>
      </c>
      <c r="K2" s="220" t="s">
        <v>152</v>
      </c>
      <c r="L2" s="220" t="s">
        <v>153</v>
      </c>
      <c r="M2" s="222" t="s">
        <v>245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154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155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156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157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158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159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160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161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162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163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656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164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165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166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167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168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169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170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171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172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173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174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175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176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177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178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179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180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181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182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183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184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185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186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187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188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189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190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191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192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193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194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195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196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197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198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199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200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201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202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203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204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205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206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207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208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209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210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211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212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213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214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215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216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217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218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219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220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221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222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223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224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225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226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227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228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229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230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231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232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233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234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235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236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237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238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239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240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241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242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243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244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246</v>
      </c>
      <c r="B95" s="128" t="s">
        <v>51</v>
      </c>
      <c r="C95" s="128" t="s">
        <v>318</v>
      </c>
      <c r="D95" s="232" t="s">
        <v>273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246</v>
      </c>
      <c r="B96" s="128" t="s">
        <v>56</v>
      </c>
      <c r="C96" s="128" t="s">
        <v>323</v>
      </c>
      <c r="D96" s="232" t="s">
        <v>273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246</v>
      </c>
      <c r="B97" s="128" t="s">
        <v>61</v>
      </c>
      <c r="C97" s="128" t="s">
        <v>328</v>
      </c>
      <c r="D97" s="232" t="s">
        <v>273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246</v>
      </c>
      <c r="B98" s="128" t="s">
        <v>66</v>
      </c>
      <c r="C98" s="128" t="s">
        <v>333</v>
      </c>
      <c r="D98" s="232" t="s">
        <v>273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246</v>
      </c>
      <c r="B99" s="128" t="s">
        <v>19</v>
      </c>
      <c r="C99" s="128" t="s">
        <v>286</v>
      </c>
      <c r="D99" s="232" t="s">
        <v>273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246</v>
      </c>
      <c r="B100" s="128" t="s">
        <v>23</v>
      </c>
      <c r="C100" s="128" t="s">
        <v>290</v>
      </c>
      <c r="D100" s="232" t="s">
        <v>273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246</v>
      </c>
      <c r="B101" s="128" t="s">
        <v>27</v>
      </c>
      <c r="C101" s="128" t="s">
        <v>294</v>
      </c>
      <c r="D101" s="232" t="s">
        <v>273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246</v>
      </c>
      <c r="B102" s="128" t="s">
        <v>31</v>
      </c>
      <c r="C102" s="128" t="s">
        <v>298</v>
      </c>
      <c r="D102" s="232" t="s">
        <v>273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246</v>
      </c>
      <c r="B103" s="128" t="s">
        <v>35</v>
      </c>
      <c r="C103" s="128" t="s">
        <v>302</v>
      </c>
      <c r="D103" s="232" t="s">
        <v>273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246</v>
      </c>
      <c r="B104" s="128" t="s">
        <v>39</v>
      </c>
      <c r="C104" s="128" t="s">
        <v>306</v>
      </c>
      <c r="D104" s="232" t="s">
        <v>273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246</v>
      </c>
      <c r="B105" s="128" t="s">
        <v>43</v>
      </c>
      <c r="C105" s="128" t="s">
        <v>310</v>
      </c>
      <c r="D105" s="232" t="s">
        <v>273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246</v>
      </c>
      <c r="B106" s="128" t="s">
        <v>47</v>
      </c>
      <c r="C106" s="128" t="s">
        <v>314</v>
      </c>
      <c r="D106" s="232" t="s">
        <v>273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246</v>
      </c>
      <c r="B107" s="128" t="s">
        <v>52</v>
      </c>
      <c r="C107" s="128" t="s">
        <v>319</v>
      </c>
      <c r="D107" s="232" t="s">
        <v>273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246</v>
      </c>
      <c r="B108" s="128" t="s">
        <v>57</v>
      </c>
      <c r="C108" s="128" t="s">
        <v>324</v>
      </c>
      <c r="D108" s="232" t="s">
        <v>273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246</v>
      </c>
      <c r="B109" s="128" t="s">
        <v>62</v>
      </c>
      <c r="C109" s="128" t="s">
        <v>329</v>
      </c>
      <c r="D109" s="232" t="s">
        <v>273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246</v>
      </c>
      <c r="B110" s="128" t="s">
        <v>67</v>
      </c>
      <c r="C110" s="128" t="s">
        <v>334</v>
      </c>
      <c r="D110" s="232" t="s">
        <v>273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246</v>
      </c>
      <c r="B111" s="128" t="s">
        <v>7</v>
      </c>
      <c r="C111" s="128" t="s">
        <v>274</v>
      </c>
      <c r="D111" s="232" t="s">
        <v>273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246</v>
      </c>
      <c r="B112" s="128" t="s">
        <v>8</v>
      </c>
      <c r="C112" s="128" t="s">
        <v>275</v>
      </c>
      <c r="D112" s="232" t="s">
        <v>273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246</v>
      </c>
      <c r="B113" s="128" t="s">
        <v>9</v>
      </c>
      <c r="C113" s="128" t="s">
        <v>276</v>
      </c>
      <c r="D113" s="232" t="s">
        <v>273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246</v>
      </c>
      <c r="B114" s="128" t="s">
        <v>10</v>
      </c>
      <c r="C114" s="128" t="s">
        <v>277</v>
      </c>
      <c r="D114" s="232" t="s">
        <v>273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246</v>
      </c>
      <c r="B115" s="128" t="s">
        <v>20</v>
      </c>
      <c r="C115" s="128" t="s">
        <v>287</v>
      </c>
      <c r="D115" s="232" t="s">
        <v>273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246</v>
      </c>
      <c r="B116" s="128" t="s">
        <v>24</v>
      </c>
      <c r="C116" s="128" t="s">
        <v>291</v>
      </c>
      <c r="D116" s="232" t="s">
        <v>273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246</v>
      </c>
      <c r="B117" s="128" t="s">
        <v>28</v>
      </c>
      <c r="C117" s="128" t="s">
        <v>295</v>
      </c>
      <c r="D117" s="232" t="s">
        <v>273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246</v>
      </c>
      <c r="B118" s="128" t="s">
        <v>32</v>
      </c>
      <c r="C118" s="128" t="s">
        <v>299</v>
      </c>
      <c r="D118" s="232" t="s">
        <v>273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246</v>
      </c>
      <c r="B119" s="128" t="s">
        <v>11</v>
      </c>
      <c r="C119" s="128" t="s">
        <v>278</v>
      </c>
      <c r="D119" s="232" t="s">
        <v>273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246</v>
      </c>
      <c r="B120" s="128" t="s">
        <v>13</v>
      </c>
      <c r="C120" s="128" t="s">
        <v>280</v>
      </c>
      <c r="D120" s="232" t="s">
        <v>273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246</v>
      </c>
      <c r="B121" s="128" t="s">
        <v>15</v>
      </c>
      <c r="C121" s="128" t="s">
        <v>282</v>
      </c>
      <c r="D121" s="232" t="s">
        <v>273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246</v>
      </c>
      <c r="B122" s="128" t="s">
        <v>17</v>
      </c>
      <c r="C122" s="128" t="s">
        <v>284</v>
      </c>
      <c r="D122" s="232" t="s">
        <v>273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246</v>
      </c>
      <c r="B123" s="128" t="s">
        <v>53</v>
      </c>
      <c r="C123" s="128" t="s">
        <v>320</v>
      </c>
      <c r="D123" s="232" t="s">
        <v>273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246</v>
      </c>
      <c r="B124" s="128" t="s">
        <v>58</v>
      </c>
      <c r="C124" s="128" t="s">
        <v>325</v>
      </c>
      <c r="D124" s="232" t="s">
        <v>273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246</v>
      </c>
      <c r="B125" s="128" t="s">
        <v>63</v>
      </c>
      <c r="C125" s="128" t="s">
        <v>330</v>
      </c>
      <c r="D125" s="232" t="s">
        <v>273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246</v>
      </c>
      <c r="B126" s="128" t="s">
        <v>68</v>
      </c>
      <c r="C126" s="128" t="s">
        <v>335</v>
      </c>
      <c r="D126" s="232" t="s">
        <v>273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246</v>
      </c>
      <c r="B127" s="128" t="s">
        <v>21</v>
      </c>
      <c r="C127" s="128" t="s">
        <v>288</v>
      </c>
      <c r="D127" s="232" t="s">
        <v>273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246</v>
      </c>
      <c r="B128" s="128" t="s">
        <v>25</v>
      </c>
      <c r="C128" s="128" t="s">
        <v>292</v>
      </c>
      <c r="D128" s="232" t="s">
        <v>273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246</v>
      </c>
      <c r="B129" s="128" t="s">
        <v>29</v>
      </c>
      <c r="C129" s="128" t="s">
        <v>296</v>
      </c>
      <c r="D129" s="232" t="s">
        <v>273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246</v>
      </c>
      <c r="B130" s="128" t="s">
        <v>33</v>
      </c>
      <c r="C130" s="128" t="s">
        <v>300</v>
      </c>
      <c r="D130" s="232" t="s">
        <v>273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246</v>
      </c>
      <c r="B131" s="128" t="s">
        <v>22</v>
      </c>
      <c r="C131" s="128" t="s">
        <v>289</v>
      </c>
      <c r="D131" s="232" t="s">
        <v>273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246</v>
      </c>
      <c r="B132" s="128" t="s">
        <v>26</v>
      </c>
      <c r="C132" s="128" t="s">
        <v>293</v>
      </c>
      <c r="D132" s="232" t="s">
        <v>273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246</v>
      </c>
      <c r="B133" s="128" t="s">
        <v>30</v>
      </c>
      <c r="C133" s="128" t="s">
        <v>297</v>
      </c>
      <c r="D133" s="232" t="s">
        <v>273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246</v>
      </c>
      <c r="B134" s="128" t="s">
        <v>34</v>
      </c>
      <c r="C134" s="128" t="s">
        <v>301</v>
      </c>
      <c r="D134" s="232" t="s">
        <v>273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246</v>
      </c>
      <c r="B135" s="128" t="s">
        <v>36</v>
      </c>
      <c r="C135" s="128" t="s">
        <v>303</v>
      </c>
      <c r="D135" s="232" t="s">
        <v>273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246</v>
      </c>
      <c r="B136" s="128" t="s">
        <v>40</v>
      </c>
      <c r="C136" s="128" t="s">
        <v>307</v>
      </c>
      <c r="D136" s="232" t="s">
        <v>273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246</v>
      </c>
      <c r="B137" s="128" t="s">
        <v>44</v>
      </c>
      <c r="C137" s="128" t="s">
        <v>311</v>
      </c>
      <c r="D137" s="232" t="s">
        <v>273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246</v>
      </c>
      <c r="B138" s="128" t="s">
        <v>48</v>
      </c>
      <c r="C138" s="128" t="s">
        <v>315</v>
      </c>
      <c r="D138" s="232" t="s">
        <v>273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246</v>
      </c>
      <c r="B139" s="128" t="s">
        <v>37</v>
      </c>
      <c r="C139" s="128" t="s">
        <v>304</v>
      </c>
      <c r="D139" s="232" t="s">
        <v>273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246</v>
      </c>
      <c r="B140" s="128" t="s">
        <v>41</v>
      </c>
      <c r="C140" s="128" t="s">
        <v>308</v>
      </c>
      <c r="D140" s="232" t="s">
        <v>273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246</v>
      </c>
      <c r="B141" s="128" t="s">
        <v>45</v>
      </c>
      <c r="C141" s="128" t="s">
        <v>312</v>
      </c>
      <c r="D141" s="232" t="s">
        <v>273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246</v>
      </c>
      <c r="B142" s="128" t="s">
        <v>49</v>
      </c>
      <c r="C142" s="128" t="s">
        <v>316</v>
      </c>
      <c r="D142" s="232" t="s">
        <v>273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246</v>
      </c>
      <c r="B143" s="128" t="s">
        <v>12</v>
      </c>
      <c r="C143" s="128" t="s">
        <v>279</v>
      </c>
      <c r="D143" s="232" t="s">
        <v>273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246</v>
      </c>
      <c r="B144" s="128" t="s">
        <v>14</v>
      </c>
      <c r="C144" s="128" t="s">
        <v>281</v>
      </c>
      <c r="D144" s="232" t="s">
        <v>273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246</v>
      </c>
      <c r="B145" s="128" t="s">
        <v>16</v>
      </c>
      <c r="C145" s="128" t="s">
        <v>283</v>
      </c>
      <c r="D145" s="232" t="s">
        <v>273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246</v>
      </c>
      <c r="B146" s="128" t="s">
        <v>18</v>
      </c>
      <c r="C146" s="128" t="s">
        <v>285</v>
      </c>
      <c r="D146" s="232" t="s">
        <v>273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246</v>
      </c>
      <c r="B147" s="128" t="s">
        <v>38</v>
      </c>
      <c r="C147" s="128" t="s">
        <v>305</v>
      </c>
      <c r="D147" s="232" t="s">
        <v>273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246</v>
      </c>
      <c r="B148" s="128" t="s">
        <v>42</v>
      </c>
      <c r="C148" s="128" t="s">
        <v>309</v>
      </c>
      <c r="D148" s="232" t="s">
        <v>273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246</v>
      </c>
      <c r="B149" s="128" t="s">
        <v>46</v>
      </c>
      <c r="C149" s="128" t="s">
        <v>313</v>
      </c>
      <c r="D149" s="232" t="s">
        <v>273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246</v>
      </c>
      <c r="B150" s="128" t="s">
        <v>50</v>
      </c>
      <c r="C150" s="128" t="s">
        <v>317</v>
      </c>
      <c r="D150" s="232" t="s">
        <v>273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246</v>
      </c>
      <c r="B151" s="128" t="s">
        <v>54</v>
      </c>
      <c r="C151" s="128" t="s">
        <v>321</v>
      </c>
      <c r="D151" s="232" t="s">
        <v>273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246</v>
      </c>
      <c r="B152" s="128" t="s">
        <v>59</v>
      </c>
      <c r="C152" s="128" t="s">
        <v>326</v>
      </c>
      <c r="D152" s="232" t="s">
        <v>273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246</v>
      </c>
      <c r="B153" s="128" t="s">
        <v>64</v>
      </c>
      <c r="C153" s="128" t="s">
        <v>331</v>
      </c>
      <c r="D153" s="232" t="s">
        <v>273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246</v>
      </c>
      <c r="B154" s="128" t="s">
        <v>69</v>
      </c>
      <c r="C154" s="128" t="s">
        <v>336</v>
      </c>
      <c r="D154" s="232" t="s">
        <v>273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246</v>
      </c>
      <c r="B155" s="128" t="s">
        <v>55</v>
      </c>
      <c r="C155" s="128" t="s">
        <v>322</v>
      </c>
      <c r="D155" s="232" t="s">
        <v>273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246</v>
      </c>
      <c r="B156" s="128" t="s">
        <v>60</v>
      </c>
      <c r="C156" s="128" t="s">
        <v>327</v>
      </c>
      <c r="D156" s="232" t="s">
        <v>273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246</v>
      </c>
      <c r="B157" s="128" t="s">
        <v>65</v>
      </c>
      <c r="C157" s="128" t="s">
        <v>332</v>
      </c>
      <c r="D157" s="232" t="s">
        <v>273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246</v>
      </c>
      <c r="B158" s="128" t="s">
        <v>70</v>
      </c>
      <c r="C158" s="128" t="s">
        <v>337</v>
      </c>
      <c r="D158" s="232" t="s">
        <v>273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459</v>
      </c>
      <c r="B1" s="128"/>
      <c r="D1" s="214" t="s">
        <v>548</v>
      </c>
    </row>
    <row r="2" spans="1:16">
      <c r="A2" s="234"/>
      <c r="B2" s="233" t="s">
        <v>460</v>
      </c>
    </row>
    <row r="3" spans="1:16" ht="20.100000000000001" customHeight="1">
      <c r="A3" s="351" t="s">
        <v>249</v>
      </c>
      <c r="B3" s="235" t="s">
        <v>87</v>
      </c>
      <c r="C3" s="236"/>
      <c r="D3" s="353" t="s">
        <v>461</v>
      </c>
      <c r="E3" s="354"/>
      <c r="F3" s="354"/>
      <c r="G3" s="354"/>
      <c r="H3" s="354"/>
      <c r="I3" s="354"/>
      <c r="J3" s="355"/>
      <c r="K3" s="237"/>
      <c r="L3" s="237"/>
      <c r="M3" s="237"/>
      <c r="N3" s="237"/>
      <c r="O3" s="238"/>
      <c r="P3" s="237"/>
    </row>
    <row r="4" spans="1:16" ht="20.100000000000001" customHeight="1">
      <c r="A4" s="352"/>
      <c r="B4" s="239"/>
      <c r="C4" s="240"/>
      <c r="D4" s="241" t="s">
        <v>88</v>
      </c>
      <c r="E4" s="241" t="s">
        <v>89</v>
      </c>
      <c r="F4" s="241" t="s">
        <v>90</v>
      </c>
      <c r="G4" s="241" t="s">
        <v>91</v>
      </c>
      <c r="H4" s="241" t="s">
        <v>92</v>
      </c>
      <c r="I4" s="241" t="s">
        <v>93</v>
      </c>
      <c r="J4" s="241" t="s">
        <v>94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95</v>
      </c>
      <c r="C5" s="240"/>
      <c r="D5" s="241" t="s">
        <v>96</v>
      </c>
      <c r="E5" s="241" t="s">
        <v>97</v>
      </c>
      <c r="F5" s="241" t="s">
        <v>98</v>
      </c>
      <c r="G5" s="241" t="s">
        <v>99</v>
      </c>
      <c r="H5" s="241" t="s">
        <v>100</v>
      </c>
      <c r="I5" s="241" t="s">
        <v>101</v>
      </c>
      <c r="J5" s="241" t="s">
        <v>102</v>
      </c>
      <c r="K5" s="241" t="s">
        <v>103</v>
      </c>
      <c r="L5" s="242" t="s">
        <v>104</v>
      </c>
      <c r="M5" s="242" t="s">
        <v>105</v>
      </c>
      <c r="N5" s="244" t="s">
        <v>148</v>
      </c>
      <c r="O5" s="244" t="s">
        <v>251</v>
      </c>
      <c r="P5" s="245" t="s">
        <v>250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106</v>
      </c>
      <c r="C7" s="249" t="s">
        <v>107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103</v>
      </c>
      <c r="M7" s="251">
        <f t="shared" ref="M7:M21" si="0">MAX(D7:J7)</f>
        <v>1</v>
      </c>
      <c r="N7" s="252" t="s">
        <v>369</v>
      </c>
      <c r="O7" s="247"/>
      <c r="P7" s="241"/>
    </row>
    <row r="8" spans="1:16" ht="21" customHeight="1">
      <c r="A8" s="248">
        <v>2</v>
      </c>
      <c r="B8" s="241" t="s">
        <v>108</v>
      </c>
      <c r="C8" s="249" t="s">
        <v>109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103</v>
      </c>
      <c r="M8" s="251">
        <f t="shared" si="0"/>
        <v>1</v>
      </c>
      <c r="N8" s="252" t="s">
        <v>369</v>
      </c>
      <c r="O8" s="247"/>
      <c r="P8" s="241"/>
    </row>
    <row r="9" spans="1:16" ht="21" customHeight="1">
      <c r="A9" s="248">
        <v>3</v>
      </c>
      <c r="B9" s="241" t="s">
        <v>247</v>
      </c>
      <c r="C9" s="253" t="s">
        <v>6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103</v>
      </c>
      <c r="M9" s="251">
        <f t="shared" ref="M9" si="1">MAX(D9:J9)</f>
        <v>1</v>
      </c>
      <c r="N9" s="252" t="s">
        <v>6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110</v>
      </c>
      <c r="C11" s="257" t="s">
        <v>111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97</v>
      </c>
      <c r="M11" s="251">
        <f t="shared" si="0"/>
        <v>1.0522626697461936</v>
      </c>
      <c r="N11" s="252" t="s">
        <v>254</v>
      </c>
      <c r="O11" s="247" t="s">
        <v>252</v>
      </c>
      <c r="P11" s="241"/>
    </row>
    <row r="12" spans="1:16">
      <c r="A12" s="248">
        <v>5</v>
      </c>
      <c r="B12" s="241" t="s">
        <v>112</v>
      </c>
      <c r="C12" s="257" t="s">
        <v>113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96</v>
      </c>
      <c r="M12" s="251">
        <f t="shared" si="0"/>
        <v>1.0358469949391176</v>
      </c>
      <c r="N12" s="252" t="s">
        <v>254</v>
      </c>
      <c r="O12" s="247" t="s">
        <v>252</v>
      </c>
      <c r="P12" s="241"/>
    </row>
    <row r="13" spans="1:16">
      <c r="A13" s="248">
        <v>6</v>
      </c>
      <c r="B13" s="241" t="s">
        <v>114</v>
      </c>
      <c r="C13" s="257" t="s">
        <v>115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96</v>
      </c>
      <c r="M13" s="251">
        <f t="shared" si="0"/>
        <v>1.069856584592316</v>
      </c>
      <c r="N13" s="252" t="s">
        <v>254</v>
      </c>
      <c r="O13" s="247" t="s">
        <v>252</v>
      </c>
      <c r="P13" s="241"/>
    </row>
    <row r="14" spans="1:16" ht="21" customHeight="1">
      <c r="A14" s="248">
        <v>7</v>
      </c>
      <c r="B14" s="241" t="s">
        <v>116</v>
      </c>
      <c r="C14" s="257" t="s">
        <v>117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96</v>
      </c>
      <c r="M14" s="251">
        <f t="shared" si="0"/>
        <v>1.1052461688999999</v>
      </c>
      <c r="N14" s="252" t="s">
        <v>254</v>
      </c>
      <c r="O14" s="247" t="s">
        <v>252</v>
      </c>
      <c r="P14" s="241"/>
    </row>
    <row r="15" spans="1:16" ht="21" customHeight="1">
      <c r="A15" s="248">
        <v>8</v>
      </c>
      <c r="B15" s="241" t="s">
        <v>118</v>
      </c>
      <c r="C15" s="257" t="s">
        <v>119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97</v>
      </c>
      <c r="M15" s="251">
        <f t="shared" si="0"/>
        <v>1.0389446761000001</v>
      </c>
      <c r="N15" s="252" t="s">
        <v>254</v>
      </c>
      <c r="O15" s="247" t="s">
        <v>252</v>
      </c>
      <c r="P15" s="241"/>
    </row>
    <row r="16" spans="1:16" ht="21" customHeight="1">
      <c r="A16" s="248">
        <v>9</v>
      </c>
      <c r="B16" s="241" t="s">
        <v>124</v>
      </c>
      <c r="C16" s="257" t="s">
        <v>125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98</v>
      </c>
      <c r="M16" s="251">
        <f>MAX(D16:J16)</f>
        <v>1.2706602107</v>
      </c>
      <c r="N16" s="252" t="s">
        <v>254</v>
      </c>
      <c r="O16" s="247" t="s">
        <v>252</v>
      </c>
      <c r="P16" s="241"/>
    </row>
    <row r="17" spans="1:16" ht="21" customHeight="1">
      <c r="A17" s="248">
        <v>10</v>
      </c>
      <c r="B17" s="241" t="s">
        <v>120</v>
      </c>
      <c r="C17" s="258" t="s">
        <v>121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101</v>
      </c>
      <c r="M17" s="251">
        <f t="shared" si="0"/>
        <v>1.0355882019</v>
      </c>
      <c r="N17" s="252" t="s">
        <v>254</v>
      </c>
      <c r="O17" s="247" t="s">
        <v>253</v>
      </c>
      <c r="P17" s="241" t="s">
        <v>118</v>
      </c>
    </row>
    <row r="18" spans="1:16" ht="21" customHeight="1">
      <c r="A18" s="248">
        <v>11</v>
      </c>
      <c r="B18" s="241" t="s">
        <v>122</v>
      </c>
      <c r="C18" s="258" t="s">
        <v>123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100</v>
      </c>
      <c r="M18" s="251">
        <f t="shared" si="0"/>
        <v>1.1401797148999999</v>
      </c>
      <c r="N18" s="252" t="s">
        <v>254</v>
      </c>
      <c r="O18" s="247" t="s">
        <v>253</v>
      </c>
      <c r="P18" s="241" t="s">
        <v>124</v>
      </c>
    </row>
    <row r="19" spans="1:16" ht="21" customHeight="1">
      <c r="A19" s="248">
        <v>12</v>
      </c>
      <c r="B19" s="241" t="s">
        <v>126</v>
      </c>
      <c r="C19" s="258" t="s">
        <v>127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99</v>
      </c>
      <c r="M19" s="251">
        <f t="shared" si="0"/>
        <v>1.0552346931000001</v>
      </c>
      <c r="N19" s="252" t="s">
        <v>254</v>
      </c>
      <c r="O19" s="247" t="s">
        <v>253</v>
      </c>
      <c r="P19" s="241" t="s">
        <v>110</v>
      </c>
    </row>
    <row r="20" spans="1:16" ht="21" customHeight="1">
      <c r="A20" s="248">
        <v>13</v>
      </c>
      <c r="B20" s="241" t="s">
        <v>128</v>
      </c>
      <c r="C20" s="258" t="s">
        <v>129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96</v>
      </c>
      <c r="M20" s="251">
        <f t="shared" si="0"/>
        <v>1.0865859003</v>
      </c>
      <c r="N20" s="252" t="s">
        <v>254</v>
      </c>
      <c r="O20" s="247" t="s">
        <v>253</v>
      </c>
      <c r="P20" s="241" t="s">
        <v>112</v>
      </c>
    </row>
    <row r="21" spans="1:16" ht="24.75" customHeight="1">
      <c r="A21" s="248">
        <v>14</v>
      </c>
      <c r="B21" s="241" t="s">
        <v>130</v>
      </c>
      <c r="C21" s="258" t="s">
        <v>131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97</v>
      </c>
      <c r="M21" s="251">
        <f t="shared" si="0"/>
        <v>1.0522626697461936</v>
      </c>
      <c r="N21" s="252" t="s">
        <v>254</v>
      </c>
      <c r="O21" s="247" t="s">
        <v>253</v>
      </c>
      <c r="P21" s="241" t="s">
        <v>118</v>
      </c>
    </row>
    <row r="22" spans="1:16" ht="25.5">
      <c r="A22" s="248">
        <v>15</v>
      </c>
      <c r="B22" s="241" t="s">
        <v>132</v>
      </c>
      <c r="C22" s="259" t="s">
        <v>133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97</v>
      </c>
      <c r="M22" s="251">
        <f>MAX(D22:J22)</f>
        <v>1.03</v>
      </c>
      <c r="N22" s="252" t="s">
        <v>254</v>
      </c>
      <c r="O22" s="247" t="s">
        <v>253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Alexander Kretzler</cp:lastModifiedBy>
  <cp:lastPrinted>2015-03-20T22:59:10Z</cp:lastPrinted>
  <dcterms:created xsi:type="dcterms:W3CDTF">2015-01-15T05:25:41Z</dcterms:created>
  <dcterms:modified xsi:type="dcterms:W3CDTF">2017-11-21T07:40:34Z</dcterms:modified>
</cp:coreProperties>
</file>